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Monthly_Returns\2018\September 2018\Publication\"/>
    </mc:Choice>
  </mc:AlternateContent>
  <bookViews>
    <workbookView xWindow="240" yWindow="15" windowWidth="15480" windowHeight="8130"/>
  </bookViews>
  <sheets>
    <sheet name="INCOME-I" sheetId="1" r:id="rId1"/>
    <sheet name="INCOME-II" sheetId="2" r:id="rId2"/>
    <sheet name="FINANCIAL POSITION" sheetId="3" r:id="rId3"/>
    <sheet name="CHANGES IN EQUITY" sheetId="4" r:id="rId4"/>
    <sheet name="FINANCIAL INSTRUMENTS" sheetId="6" r:id="rId5"/>
    <sheet name="Cash Flow" sheetId="11" r:id="rId6"/>
    <sheet name="SELECTED PERFORMANCE INDICATORS" sheetId="7" r:id="rId7"/>
    <sheet name="Loans &amp; Receivables" sheetId="8" r:id="rId8"/>
    <sheet name="Impairment" sheetId="9" r:id="rId9"/>
    <sheet name="Customers" sheetId="10" r:id="rId10"/>
  </sheets>
  <definedNames>
    <definedName name="_xlnm.Print_Area" localSheetId="5">'Cash Flow'!$A$1:$E$54</definedName>
    <definedName name="_xlnm.Print_Area" localSheetId="3">'CHANGES IN EQUITY'!$A$1:$K$30,'CHANGES IN EQUITY'!$A$34:$K$60</definedName>
    <definedName name="_xlnm.Print_Area" localSheetId="0">'INCOME-I'!$B$1:$F$51</definedName>
    <definedName name="_xlnm.Print_Area" localSheetId="1">'INCOME-II'!$A$1:$E$31</definedName>
    <definedName name="_xlnm.Print_Area" localSheetId="7">'Loans &amp; Receivables'!$A$1:$F$42</definedName>
    <definedName name="_xlnm.Print_Area" localSheetId="6">'SELECTED PERFORMANCE INDICATORS'!$A$1:$E$54</definedName>
  </definedNames>
  <calcPr calcId="152511"/>
</workbook>
</file>

<file path=xl/calcChain.xml><?xml version="1.0" encoding="utf-8"?>
<calcChain xmlns="http://schemas.openxmlformats.org/spreadsheetml/2006/main">
  <c r="C40" i="8" l="1"/>
  <c r="C39" i="8"/>
  <c r="C38" i="8"/>
  <c r="C37" i="8"/>
  <c r="C36" i="8"/>
  <c r="C33" i="8"/>
  <c r="C29" i="8"/>
  <c r="C28" i="8"/>
  <c r="C12" i="8"/>
  <c r="C8" i="8"/>
  <c r="C18" i="9"/>
  <c r="C20" i="9"/>
  <c r="B27" i="7" l="1"/>
  <c r="B9" i="7" l="1"/>
  <c r="B8" i="7"/>
  <c r="D57" i="3" l="1"/>
  <c r="D52" i="3"/>
  <c r="D42" i="3"/>
  <c r="D44" i="3"/>
  <c r="D43" i="3"/>
  <c r="D33" i="3"/>
  <c r="D38" i="3"/>
  <c r="D30" i="3"/>
  <c r="D29" i="3"/>
  <c r="D26" i="3"/>
  <c r="D23" i="3"/>
  <c r="D22" i="3"/>
  <c r="D21" i="3"/>
  <c r="D20" i="3"/>
  <c r="D15" i="3"/>
  <c r="D14" i="3"/>
  <c r="D13" i="3"/>
  <c r="E43" i="1"/>
  <c r="E34" i="1"/>
  <c r="E33" i="1"/>
  <c r="E32" i="1"/>
  <c r="E30" i="1"/>
  <c r="E25" i="1"/>
  <c r="E19" i="1"/>
  <c r="E16" i="1"/>
  <c r="E14" i="1"/>
  <c r="E13" i="1"/>
  <c r="B43" i="3" l="1"/>
  <c r="B44" i="3" s="1"/>
  <c r="B38" i="3" l="1"/>
  <c r="B30" i="3" l="1"/>
  <c r="B23" i="3" l="1"/>
  <c r="B21" i="3"/>
  <c r="B13" i="3"/>
  <c r="C34" i="1" l="1"/>
  <c r="D34" i="1" l="1"/>
  <c r="D32" i="1"/>
  <c r="D27" i="1"/>
  <c r="D25" i="1"/>
  <c r="D18" i="1"/>
  <c r="D16" i="1"/>
  <c r="D15" i="1"/>
  <c r="D26" i="1" s="1"/>
  <c r="D31" i="1" s="1"/>
  <c r="D35" i="1" s="1"/>
  <c r="D38" i="1" s="1"/>
  <c r="D42" i="1" s="1"/>
  <c r="D44" i="1" s="1"/>
  <c r="D46" i="1" s="1"/>
  <c r="C26" i="2"/>
  <c r="E26" i="2"/>
  <c r="C12" i="2" l="1"/>
  <c r="C28" i="2" s="1"/>
  <c r="C30" i="2" s="1"/>
  <c r="E12" i="2" l="1"/>
  <c r="E28" i="2" s="1"/>
  <c r="C14" i="9" l="1"/>
  <c r="C10" i="9" l="1"/>
  <c r="D40" i="8" l="1"/>
  <c r="D39" i="8"/>
  <c r="D33" i="8" s="1"/>
  <c r="D34" i="8" s="1"/>
  <c r="D42" i="8" s="1"/>
  <c r="D38" i="8"/>
  <c r="D37" i="8"/>
  <c r="D36" i="8"/>
  <c r="D41" i="8" s="1"/>
  <c r="D29" i="8"/>
  <c r="D28" i="8"/>
  <c r="D11" i="8" l="1"/>
  <c r="D10" i="8"/>
  <c r="D9" i="8"/>
  <c r="D8" i="8"/>
  <c r="D12" i="8" s="1"/>
  <c r="D17" i="8" s="1"/>
  <c r="C17" i="9"/>
  <c r="D19" i="10"/>
  <c r="D12" i="10"/>
  <c r="D9" i="10" s="1"/>
  <c r="D13" i="10" s="1"/>
  <c r="D20" i="10" s="1"/>
  <c r="D11" i="10"/>
  <c r="D10" i="10"/>
  <c r="C21" i="10" l="1"/>
  <c r="C27" i="7" l="1"/>
  <c r="C9" i="7"/>
  <c r="C8" i="7"/>
  <c r="C37" i="11"/>
  <c r="C48" i="11"/>
  <c r="C49" i="11" s="1"/>
  <c r="C35" i="11"/>
  <c r="C28" i="11"/>
  <c r="C26" i="11"/>
  <c r="C22" i="11"/>
  <c r="C21" i="11"/>
  <c r="C16" i="11"/>
  <c r="C15" i="11"/>
  <c r="C14" i="11"/>
  <c r="C13" i="11"/>
  <c r="C10" i="11"/>
  <c r="C23" i="11" s="1"/>
  <c r="C51" i="11" l="1"/>
  <c r="C54" i="11" s="1"/>
  <c r="H40" i="4"/>
  <c r="I10" i="4" l="1"/>
  <c r="K10" i="4" s="1"/>
  <c r="B50" i="3" l="1"/>
  <c r="B47" i="3"/>
  <c r="E57" i="3" l="1"/>
  <c r="E52" i="3"/>
  <c r="E50" i="3"/>
  <c r="E49" i="3"/>
  <c r="E44" i="3"/>
  <c r="E43" i="3"/>
  <c r="E42" i="3"/>
  <c r="E38" i="3"/>
  <c r="E33" i="3"/>
  <c r="E47" i="3" s="1"/>
  <c r="E30" i="3"/>
  <c r="E29" i="3"/>
  <c r="E26" i="3"/>
  <c r="E23" i="3"/>
  <c r="E22" i="3"/>
  <c r="E21" i="3"/>
  <c r="E20" i="3"/>
  <c r="E15" i="3"/>
  <c r="E14" i="3"/>
  <c r="E13" i="3"/>
  <c r="E9" i="3"/>
  <c r="C57" i="3"/>
  <c r="C52" i="3"/>
  <c r="C51" i="3"/>
  <c r="C50" i="3"/>
  <c r="C49" i="3"/>
  <c r="C53" i="3" s="1"/>
  <c r="C55" i="3" s="1"/>
  <c r="C44" i="3"/>
  <c r="C38" i="3"/>
  <c r="C33" i="3"/>
  <c r="C30" i="3"/>
  <c r="C29" i="3"/>
  <c r="C26" i="3"/>
  <c r="C23" i="3"/>
  <c r="C21" i="3"/>
  <c r="C15" i="3"/>
  <c r="C13" i="3" s="1"/>
  <c r="C14" i="3"/>
  <c r="C47" i="3" l="1"/>
  <c r="C56" i="3" s="1"/>
  <c r="E31" i="3"/>
  <c r="C31" i="3"/>
  <c r="E53" i="3"/>
  <c r="E55" i="3" s="1"/>
  <c r="E56" i="3"/>
  <c r="D51" i="11" l="1"/>
  <c r="D44" i="11" l="1"/>
  <c r="D15" i="11"/>
  <c r="D14" i="11"/>
  <c r="D13" i="11"/>
  <c r="D109" i="6" l="1"/>
  <c r="F109" i="6"/>
  <c r="C23" i="9" l="1"/>
  <c r="D49" i="3" l="1"/>
  <c r="I166" i="6" l="1"/>
  <c r="I165" i="6"/>
  <c r="I164" i="6"/>
  <c r="I163" i="6"/>
  <c r="I162" i="6"/>
  <c r="I161" i="6"/>
  <c r="I160" i="6"/>
  <c r="I159" i="6"/>
  <c r="D154" i="6"/>
  <c r="I153" i="6"/>
  <c r="F153" i="6"/>
  <c r="F154" i="6" s="1"/>
  <c r="D153" i="6"/>
  <c r="I152" i="6"/>
  <c r="I151" i="6"/>
  <c r="I150" i="6"/>
  <c r="I149" i="6"/>
  <c r="I148" i="6"/>
  <c r="I147" i="6"/>
  <c r="I146" i="6"/>
  <c r="I145" i="6"/>
  <c r="I144" i="6"/>
  <c r="I154" i="6" l="1"/>
  <c r="K20" i="4"/>
  <c r="K21" i="4"/>
  <c r="K22" i="4"/>
  <c r="K24" i="4"/>
  <c r="K25" i="4"/>
  <c r="K26" i="4"/>
  <c r="K27" i="4"/>
  <c r="K28" i="4"/>
  <c r="K29" i="4"/>
  <c r="K19" i="4"/>
  <c r="G23" i="4"/>
  <c r="B52" i="3"/>
  <c r="B49" i="3" l="1"/>
  <c r="B53" i="3" s="1"/>
  <c r="B29" i="3"/>
  <c r="D9" i="3"/>
  <c r="K52" i="4" l="1"/>
  <c r="I50" i="4"/>
  <c r="K50" i="4" s="1"/>
  <c r="I51" i="4"/>
  <c r="K51" i="4" s="1"/>
  <c r="I52" i="4"/>
  <c r="I53" i="4"/>
  <c r="K53" i="4" s="1"/>
  <c r="I54" i="4"/>
  <c r="K54" i="4" s="1"/>
  <c r="I55" i="4"/>
  <c r="K55" i="4" s="1"/>
  <c r="I56" i="4"/>
  <c r="K56" i="4" s="1"/>
  <c r="I57" i="4"/>
  <c r="K57" i="4" s="1"/>
  <c r="I58" i="4"/>
  <c r="K58" i="4" s="1"/>
  <c r="I49" i="4"/>
  <c r="K49" i="4" s="1"/>
  <c r="K59" i="4" l="1"/>
  <c r="E15" i="1" l="1"/>
  <c r="E18" i="1"/>
  <c r="E27" i="1"/>
  <c r="E26" i="1" l="1"/>
  <c r="E31" i="1" s="1"/>
  <c r="E35" i="1" s="1"/>
  <c r="E38" i="1" s="1"/>
  <c r="E42" i="1" s="1"/>
  <c r="E44" i="1" s="1"/>
  <c r="E46" i="1" l="1"/>
  <c r="C17" i="8" l="1"/>
  <c r="C18" i="8" s="1"/>
  <c r="F33" i="6" l="1"/>
  <c r="G33" i="6"/>
  <c r="H33" i="6"/>
  <c r="B33" i="6"/>
  <c r="C33" i="6"/>
  <c r="D33" i="6"/>
  <c r="G20" i="6"/>
  <c r="H20" i="6"/>
  <c r="B20" i="6"/>
  <c r="C20" i="6"/>
  <c r="B37" i="11" l="1"/>
  <c r="C19" i="10" l="1"/>
  <c r="D50" i="3" l="1"/>
  <c r="C8" i="9" l="1"/>
  <c r="C7" i="10" s="1"/>
  <c r="C34" i="8" l="1"/>
  <c r="C41" i="8"/>
  <c r="C42" i="8" l="1"/>
  <c r="C43" i="8" s="1"/>
  <c r="G45" i="4" l="1"/>
  <c r="H45" i="4"/>
  <c r="D8" i="9" l="1"/>
  <c r="D7" i="10" s="1"/>
  <c r="D26" i="8"/>
  <c r="C22" i="9" l="1"/>
  <c r="C24" i="9" s="1"/>
  <c r="I13" i="4"/>
  <c r="D110" i="6" l="1"/>
  <c r="D52" i="11" l="1"/>
  <c r="F15" i="4" l="1"/>
  <c r="B21" i="11"/>
  <c r="J59" i="4" l="1"/>
  <c r="H59" i="4"/>
  <c r="G59" i="4"/>
  <c r="G60" i="4" s="1"/>
  <c r="F59" i="4"/>
  <c r="E59" i="4"/>
  <c r="D59" i="4"/>
  <c r="C59" i="4"/>
  <c r="B59" i="4"/>
  <c r="J45" i="4"/>
  <c r="F45" i="4"/>
  <c r="E45" i="4"/>
  <c r="D45" i="4"/>
  <c r="C45" i="4"/>
  <c r="C60" i="4" s="1"/>
  <c r="B45" i="4"/>
  <c r="I44" i="4"/>
  <c r="K44" i="4" s="1"/>
  <c r="I43" i="4"/>
  <c r="K43" i="4" s="1"/>
  <c r="I42" i="4"/>
  <c r="K42" i="4" s="1"/>
  <c r="I45" i="4" l="1"/>
  <c r="K45" i="4" s="1"/>
  <c r="I59" i="4"/>
  <c r="E60" i="4"/>
  <c r="B60" i="4"/>
  <c r="F60" i="4"/>
  <c r="H60" i="4"/>
  <c r="D60" i="4"/>
  <c r="J60" i="4"/>
  <c r="I60" i="4" l="1"/>
  <c r="K60" i="4" s="1"/>
  <c r="E30" i="2" l="1"/>
  <c r="B49" i="11"/>
  <c r="D49" i="11"/>
  <c r="D37" i="11"/>
  <c r="D23" i="11"/>
  <c r="B23" i="11" l="1"/>
  <c r="D54" i="11" l="1"/>
  <c r="B51" i="11"/>
  <c r="B54" i="11" l="1"/>
  <c r="C13" i="10"/>
  <c r="C20" i="10" s="1"/>
  <c r="C22" i="10" s="1"/>
  <c r="I122" i="6" l="1"/>
  <c r="I121" i="6"/>
  <c r="I120" i="6"/>
  <c r="I119" i="6"/>
  <c r="I118" i="6"/>
  <c r="I117" i="6"/>
  <c r="I116" i="6"/>
  <c r="I115" i="6"/>
  <c r="F110" i="6"/>
  <c r="I108" i="6"/>
  <c r="I107" i="6"/>
  <c r="I106" i="6"/>
  <c r="I105" i="6"/>
  <c r="I104" i="6"/>
  <c r="I103" i="6"/>
  <c r="I102" i="6"/>
  <c r="I101" i="6"/>
  <c r="I100" i="6"/>
  <c r="I109" i="6" l="1"/>
  <c r="I110" i="6" s="1"/>
  <c r="B26" i="2" l="1"/>
  <c r="B31" i="3" l="1"/>
  <c r="D53" i="3" l="1"/>
  <c r="D55" i="3" s="1"/>
  <c r="B55" i="3"/>
  <c r="B56" i="3" s="1"/>
  <c r="C27" i="1" l="1"/>
  <c r="C15" i="1"/>
  <c r="C26" i="8" l="1"/>
  <c r="E30" i="6"/>
  <c r="E26" i="6"/>
  <c r="I18" i="6"/>
  <c r="D19" i="6"/>
  <c r="F19" i="6"/>
  <c r="F20" i="6" s="1"/>
  <c r="E17" i="6"/>
  <c r="I17" i="6" s="1"/>
  <c r="E16" i="6"/>
  <c r="I16" i="6" s="1"/>
  <c r="E12" i="6"/>
  <c r="I12" i="6" s="1"/>
  <c r="E11" i="6"/>
  <c r="I11" i="6" s="1"/>
  <c r="E10" i="6"/>
  <c r="I10" i="6" s="1"/>
  <c r="D31" i="3"/>
  <c r="G15" i="4"/>
  <c r="G30" i="4" s="1"/>
  <c r="C18" i="1"/>
  <c r="C26" i="1" s="1"/>
  <c r="D15" i="4"/>
  <c r="D30" i="4" s="1"/>
  <c r="E15" i="4"/>
  <c r="E30" i="4" s="1"/>
  <c r="H15" i="4"/>
  <c r="H30" i="4" s="1"/>
  <c r="D47" i="3"/>
  <c r="D56" i="3" s="1"/>
  <c r="I23" i="4"/>
  <c r="K23" i="4" s="1"/>
  <c r="I14" i="4"/>
  <c r="K14" i="4" s="1"/>
  <c r="I13" i="6"/>
  <c r="I14" i="6"/>
  <c r="I15" i="6"/>
  <c r="D26" i="2"/>
  <c r="I27" i="6"/>
  <c r="I28" i="6"/>
  <c r="I29" i="6"/>
  <c r="I31" i="6"/>
  <c r="I32" i="6"/>
  <c r="F30" i="4"/>
  <c r="K13" i="4"/>
  <c r="C15" i="4"/>
  <c r="C30" i="4" s="1"/>
  <c r="J15" i="4"/>
  <c r="J30" i="4"/>
  <c r="B15" i="4"/>
  <c r="B30" i="4" s="1"/>
  <c r="I19" i="6" l="1"/>
  <c r="I20" i="6" s="1"/>
  <c r="I26" i="6"/>
  <c r="E33" i="6"/>
  <c r="I33" i="6" s="1"/>
  <c r="I15" i="4"/>
  <c r="K15" i="4" s="1"/>
  <c r="K30" i="4" s="1"/>
  <c r="D20" i="6"/>
  <c r="I30" i="6"/>
  <c r="E20" i="6"/>
  <c r="C31" i="1" l="1"/>
  <c r="C35" i="1" s="1"/>
  <c r="C38" i="1" s="1"/>
  <c r="C42" i="1" s="1"/>
  <c r="C44" i="1" s="1"/>
  <c r="I30" i="4"/>
  <c r="D12" i="2" l="1"/>
  <c r="D28" i="2" s="1"/>
  <c r="D30" i="2" s="1"/>
  <c r="B12" i="2"/>
  <c r="B28" i="2" s="1"/>
  <c r="B30" i="2" s="1"/>
  <c r="C46" i="1"/>
</calcChain>
</file>

<file path=xl/comments1.xml><?xml version="1.0" encoding="utf-8"?>
<comments xmlns="http://schemas.openxmlformats.org/spreadsheetml/2006/main">
  <authors>
    <author>Author</author>
    <author>user</author>
  </authors>
  <commentList>
    <comment ref="B43" authorId="0" shapeId="0">
      <text>
        <r>
          <rPr>
            <b/>
            <sz val="9"/>
            <color indexed="81"/>
            <rFont val="Tahoma"/>
            <family val="2"/>
          </rPr>
          <t>Retirement benefit - Gratuity</t>
        </r>
      </text>
    </comment>
    <comment ref="C43" authorId="1" shapeId="0">
      <text>
        <r>
          <rPr>
            <b/>
            <sz val="9"/>
            <color indexed="81"/>
            <rFont val="Tahoma"/>
            <family val="2"/>
          </rPr>
          <t>Retirement benefit - Gratuity</t>
        </r>
      </text>
    </comment>
  </commentList>
</comments>
</file>

<file path=xl/comments2.xml><?xml version="1.0" encoding="utf-8"?>
<comments xmlns="http://schemas.openxmlformats.org/spreadsheetml/2006/main">
  <authors>
    <author>user</author>
  </authors>
  <commentList>
    <comment ref="B8" authorId="0" shapeId="0">
      <text>
        <r>
          <rPr>
            <b/>
            <sz val="9"/>
            <color indexed="81"/>
            <rFont val="Tahoma"/>
            <family val="2"/>
          </rPr>
          <t xml:space="preserve">Sahana Ms.:
11-2A - Eligible Core Capital </t>
        </r>
        <r>
          <rPr>
            <sz val="9"/>
            <color indexed="81"/>
            <rFont val="Tahoma"/>
            <family val="2"/>
          </rPr>
          <t xml:space="preserve">
</t>
        </r>
      </text>
    </comment>
    <comment ref="C8" authorId="0" shapeId="0">
      <text>
        <r>
          <rPr>
            <b/>
            <sz val="9"/>
            <color indexed="81"/>
            <rFont val="Tahoma"/>
            <family val="2"/>
          </rPr>
          <t xml:space="preserve">Sahana Ms.:
11-2A - Eligible Core Capital </t>
        </r>
        <r>
          <rPr>
            <sz val="9"/>
            <color indexed="81"/>
            <rFont val="Tahoma"/>
            <family val="2"/>
          </rPr>
          <t xml:space="preserve">
</t>
        </r>
      </text>
    </comment>
    <comment ref="B9" authorId="0" shapeId="0">
      <text>
        <r>
          <rPr>
            <b/>
            <sz val="9"/>
            <color indexed="81"/>
            <rFont val="Tahoma"/>
            <family val="2"/>
          </rPr>
          <t>Sahana Ms.:
11-2A - Capital Base</t>
        </r>
        <r>
          <rPr>
            <sz val="9"/>
            <color indexed="81"/>
            <rFont val="Tahoma"/>
            <family val="2"/>
          </rPr>
          <t xml:space="preserve">
</t>
        </r>
      </text>
    </comment>
    <comment ref="C9" authorId="0" shapeId="0">
      <text>
        <r>
          <rPr>
            <b/>
            <sz val="9"/>
            <color indexed="81"/>
            <rFont val="Tahoma"/>
            <family val="2"/>
          </rPr>
          <t>Sahana Ms.:
11-2A - Capital Base</t>
        </r>
        <r>
          <rPr>
            <sz val="9"/>
            <color indexed="81"/>
            <rFont val="Tahoma"/>
            <family val="2"/>
          </rPr>
          <t xml:space="preserve">
</t>
        </r>
      </text>
    </comment>
  </commentList>
</comments>
</file>

<file path=xl/sharedStrings.xml><?xml version="1.0" encoding="utf-8"?>
<sst xmlns="http://schemas.openxmlformats.org/spreadsheetml/2006/main" count="734" uniqueCount="342">
  <si>
    <t xml:space="preserve">INCOME STATEMENT </t>
  </si>
  <si>
    <t>In Rupees Thousand</t>
  </si>
  <si>
    <t>Interest Income</t>
  </si>
  <si>
    <t>Interest expenses</t>
  </si>
  <si>
    <t>Net Interest income</t>
  </si>
  <si>
    <t xml:space="preserve">Fee and Commission income </t>
  </si>
  <si>
    <t>Fee and Commission expenses</t>
  </si>
  <si>
    <t>Net fee and Commission income</t>
  </si>
  <si>
    <t>Net gain / (loss) from trading</t>
  </si>
  <si>
    <t>Net gain / (loss) from financial</t>
  </si>
  <si>
    <t>instruments designated at fair value</t>
  </si>
  <si>
    <t>investments</t>
  </si>
  <si>
    <t>Total operating income</t>
  </si>
  <si>
    <t>Impairment for loans and other losses</t>
  </si>
  <si>
    <t xml:space="preserve">        Individual Impairment</t>
  </si>
  <si>
    <t xml:space="preserve">        Collective Impairment</t>
  </si>
  <si>
    <t xml:space="preserve">        Others</t>
  </si>
  <si>
    <t>Net Operating income</t>
  </si>
  <si>
    <t>Personal expenses</t>
  </si>
  <si>
    <t xml:space="preserve">Depreciation and amortisaiton </t>
  </si>
  <si>
    <t>Other expenses</t>
  </si>
  <si>
    <t xml:space="preserve">Operating profit / (loss) before value </t>
  </si>
  <si>
    <t>added tax (VAT)</t>
  </si>
  <si>
    <t xml:space="preserve">Share or profits of associates and joint </t>
  </si>
  <si>
    <t>ventures</t>
  </si>
  <si>
    <t>Value added tax (VAT) on financial services</t>
  </si>
  <si>
    <t xml:space="preserve">Operating profit / (loss) after value </t>
  </si>
  <si>
    <t>Profit / (loss) before tax</t>
  </si>
  <si>
    <t>Tax expenses</t>
  </si>
  <si>
    <t>Profit / (loss) for the period</t>
  </si>
  <si>
    <t>Profit attributable to :</t>
  </si>
  <si>
    <t>Owners of the parent</t>
  </si>
  <si>
    <t>Non-controlling  interest</t>
  </si>
  <si>
    <t>Basic earnings per ordinary share</t>
  </si>
  <si>
    <t>Bank</t>
  </si>
  <si>
    <t xml:space="preserve">Current </t>
  </si>
  <si>
    <t>From</t>
  </si>
  <si>
    <t>to</t>
  </si>
  <si>
    <t>Previous</t>
  </si>
  <si>
    <t>INDIAN OVERSEAS BANK</t>
  </si>
  <si>
    <t xml:space="preserve">STATEMENT OF COMPREHENSIVE INCOME </t>
  </si>
  <si>
    <t>Profit (loss) for the period</t>
  </si>
  <si>
    <t>Other comprehensive income, net of tax</t>
  </si>
  <si>
    <t>Changes in revaluation surplus</t>
  </si>
  <si>
    <t xml:space="preserve">Gains and losses (arising from translating </t>
  </si>
  <si>
    <t>Group</t>
  </si>
  <si>
    <t xml:space="preserve">Gains and losses on re - measuring </t>
  </si>
  <si>
    <t xml:space="preserve">available-for-sale financial assets </t>
  </si>
  <si>
    <t xml:space="preserve">Gains and losses on cash flow hedges </t>
  </si>
  <si>
    <t xml:space="preserve">Less : Tax expense / (income) relating to </t>
  </si>
  <si>
    <t>Other comprehensive income for the period,</t>
  </si>
  <si>
    <t>Attributable to :</t>
  </si>
  <si>
    <t>Non -controlling interests</t>
  </si>
  <si>
    <t>Assets</t>
  </si>
  <si>
    <t>Balances with central banks</t>
  </si>
  <si>
    <t>Placements with banks</t>
  </si>
  <si>
    <t>Derivative financial instruments</t>
  </si>
  <si>
    <t>Other financial assets held-for-trading</t>
  </si>
  <si>
    <t>Others</t>
  </si>
  <si>
    <t>Share of profits of associats and joint ventures</t>
  </si>
  <si>
    <t>components of other comprehensive income</t>
  </si>
  <si>
    <t>net of taxes</t>
  </si>
  <si>
    <t>Total comprehensive income for the perid</t>
  </si>
  <si>
    <t>Financial assets designated at fair value</t>
  </si>
  <si>
    <t>through profit or loss</t>
  </si>
  <si>
    <t>Loans and receivables to other customers</t>
  </si>
  <si>
    <t>Financial investments - Available -for -sale</t>
  </si>
  <si>
    <t>Financial investments - Held -to -maturity</t>
  </si>
  <si>
    <t>Investments in subsidiaries</t>
  </si>
  <si>
    <t>Investments in associates and joint ventures</t>
  </si>
  <si>
    <t>Investment properties</t>
  </si>
  <si>
    <t>Goodwill and tangible assets</t>
  </si>
  <si>
    <t>Other assets</t>
  </si>
  <si>
    <t>Total assets</t>
  </si>
  <si>
    <t>Liabilities</t>
  </si>
  <si>
    <t>Due to banks</t>
  </si>
  <si>
    <t>Other borrowings</t>
  </si>
  <si>
    <t>Debts securities issued</t>
  </si>
  <si>
    <t>Current tax liabilities</t>
  </si>
  <si>
    <t>Other provisions</t>
  </si>
  <si>
    <t>Other liabilities</t>
  </si>
  <si>
    <t>Due to subsidiaries</t>
  </si>
  <si>
    <t>Subordinated term debts</t>
  </si>
  <si>
    <t>Total liabilities</t>
  </si>
  <si>
    <t>Equity</t>
  </si>
  <si>
    <t>Stated capital / Assigned capital</t>
  </si>
  <si>
    <t>Statutory reserve fund</t>
  </si>
  <si>
    <t>Retained earnings</t>
  </si>
  <si>
    <t>Other reserves</t>
  </si>
  <si>
    <t>Total shareholders' equity</t>
  </si>
  <si>
    <t>Non-controlling interest</t>
  </si>
  <si>
    <t>Total equity</t>
  </si>
  <si>
    <t>Total equity and liabilities</t>
  </si>
  <si>
    <t>Contingent liabilities and commitments</t>
  </si>
  <si>
    <t>Memorandum Information</t>
  </si>
  <si>
    <t xml:space="preserve">       Number of Employees</t>
  </si>
  <si>
    <t xml:space="preserve">       Number of Branches</t>
  </si>
  <si>
    <t>STATEMENT OF CHANGES IN EQUITY</t>
  </si>
  <si>
    <t>Total comprehensive income for the year</t>
  </si>
  <si>
    <t>Profit/(loss) for the year</t>
  </si>
  <si>
    <t>Other comprehensive income (net of tax)</t>
  </si>
  <si>
    <t>Transactions with equity holders,</t>
  </si>
  <si>
    <t>recognised directly in equity</t>
  </si>
  <si>
    <t>Share issue/increase of assigned capital</t>
  </si>
  <si>
    <t>Share options excercised</t>
  </si>
  <si>
    <t>Bonus issue</t>
  </si>
  <si>
    <t>Rights issue</t>
  </si>
  <si>
    <t>Transferres to reserve during the period</t>
  </si>
  <si>
    <t>Dividends to equity holdres</t>
  </si>
  <si>
    <t>Profit transferred to head office</t>
  </si>
  <si>
    <t xml:space="preserve">Gain / (loss) on revaluation of Property, Plant </t>
  </si>
  <si>
    <t>and Equipment (if cost method is adopted)</t>
  </si>
  <si>
    <t>Others (Please specify)</t>
  </si>
  <si>
    <t>Total transactions with equity holders</t>
  </si>
  <si>
    <t>Stated capital/Assigned capital)</t>
  </si>
  <si>
    <t>Ordinary</t>
  </si>
  <si>
    <t xml:space="preserve">voting </t>
  </si>
  <si>
    <t>shares</t>
  </si>
  <si>
    <t>non-voting</t>
  </si>
  <si>
    <t>Assigned</t>
  </si>
  <si>
    <t>capital</t>
  </si>
  <si>
    <t>Reserve</t>
  </si>
  <si>
    <t>fund</t>
  </si>
  <si>
    <t>Reserves</t>
  </si>
  <si>
    <t>Revaluation</t>
  </si>
  <si>
    <t>reserve</t>
  </si>
  <si>
    <t xml:space="preserve">Retained </t>
  </si>
  <si>
    <t>earnings</t>
  </si>
  <si>
    <t xml:space="preserve">Other </t>
  </si>
  <si>
    <t>reserves</t>
  </si>
  <si>
    <t>Total</t>
  </si>
  <si>
    <t>interest</t>
  </si>
  <si>
    <t>a. Bank - Current period</t>
  </si>
  <si>
    <t>ASSETS</t>
  </si>
  <si>
    <t>Cash and cash equivalents</t>
  </si>
  <si>
    <t xml:space="preserve">Other financial assets at fair </t>
  </si>
  <si>
    <t>value through profit or loss</t>
  </si>
  <si>
    <t>Loans and receivables to banks</t>
  </si>
  <si>
    <t>Financial investments</t>
  </si>
  <si>
    <t>Total financial assets</t>
  </si>
  <si>
    <t>LIABILITIES</t>
  </si>
  <si>
    <t xml:space="preserve">Other financial liabilities at fair </t>
  </si>
  <si>
    <t>Due to other customers</t>
  </si>
  <si>
    <t>Debt securities issued</t>
  </si>
  <si>
    <t>Held for trading - HFT</t>
  </si>
  <si>
    <t>Designated at fair value through profit or loss - Designated at fair value</t>
  </si>
  <si>
    <t>Loans and receivables / deposits at amortised cost - Amortised cost</t>
  </si>
  <si>
    <t>Held-to-maturity - HTM</t>
  </si>
  <si>
    <t>Available-for-sale - AFS</t>
  </si>
  <si>
    <t>Instruments of fair value and cash flow hedging - Hedging</t>
  </si>
  <si>
    <t xml:space="preserve">Designated </t>
  </si>
  <si>
    <t xml:space="preserve">at fair </t>
  </si>
  <si>
    <t>value</t>
  </si>
  <si>
    <t>HTM</t>
  </si>
  <si>
    <t>Amortised</t>
  </si>
  <si>
    <t>cost</t>
  </si>
  <si>
    <t>AFS</t>
  </si>
  <si>
    <t>Hedging</t>
  </si>
  <si>
    <t xml:space="preserve">Total financial liabilities </t>
  </si>
  <si>
    <t>ANALYSIS OF FINANCIAL INSTRUMENTS BY MEASURMENT BASIS</t>
  </si>
  <si>
    <t>Regulatory Capital Adequacy</t>
  </si>
  <si>
    <t>Assets (Minimum Requirement, 5%)</t>
  </si>
  <si>
    <t xml:space="preserve">Total Capital Adequacy Ratio, as % of Risk Weigted </t>
  </si>
  <si>
    <t xml:space="preserve">Core Capital Adequacy Ratio, as % of Risk Weighted </t>
  </si>
  <si>
    <t>Assets (Minimum Requirement, 10%)</t>
  </si>
  <si>
    <t>Assets Quality (Quality of Loan Portfolio)</t>
  </si>
  <si>
    <t>Gross Non-Performing Advances Ratio, % (net of</t>
  </si>
  <si>
    <t>interest in suspense)</t>
  </si>
  <si>
    <t xml:space="preserve">Net-Non Performing Advances, % (net of interest in </t>
  </si>
  <si>
    <t>suspense and provision)</t>
  </si>
  <si>
    <t>Profitability</t>
  </si>
  <si>
    <t>Interest Margin, %</t>
  </si>
  <si>
    <t>Return on Assets (befor Tax), %</t>
  </si>
  <si>
    <t>Return on Equity, %</t>
  </si>
  <si>
    <t>Regulatory Liquidity</t>
  </si>
  <si>
    <t>Statutory Liquid Assets, Rs. '000</t>
  </si>
  <si>
    <t>Statutory Liquid Assets Ratio, % (Minimum</t>
  </si>
  <si>
    <t>Requirement, 20%)</t>
  </si>
  <si>
    <t xml:space="preserve">   Domestic Banking Unit</t>
  </si>
  <si>
    <t xml:space="preserve">   Off - shore Banking Unit</t>
  </si>
  <si>
    <t>As at</t>
  </si>
  <si>
    <t>in LKR</t>
  </si>
  <si>
    <t>in INR</t>
  </si>
  <si>
    <t>Loans and receivables to Banks</t>
  </si>
  <si>
    <t xml:space="preserve"> Group</t>
  </si>
  <si>
    <t>Loans and receivables to other Customers</t>
  </si>
  <si>
    <t>Acturial gains and loses on defined benefit plans</t>
  </si>
  <si>
    <t xml:space="preserve">        the financial statements of a foreign operation</t>
  </si>
  <si>
    <t>DD/MM/YY</t>
  </si>
  <si>
    <t>as at</t>
  </si>
  <si>
    <t xml:space="preserve">Period </t>
  </si>
  <si>
    <t xml:space="preserve"> as at</t>
  </si>
  <si>
    <t xml:space="preserve"> Period</t>
  </si>
  <si>
    <t>Gross loans and receivables</t>
  </si>
  <si>
    <t xml:space="preserve">(Less) : </t>
  </si>
  <si>
    <t>Collective impairment</t>
  </si>
  <si>
    <t>Individual impairment</t>
  </si>
  <si>
    <t>Net loans and receivables including those</t>
  </si>
  <si>
    <t>profit or loss</t>
  </si>
  <si>
    <t>designated at fair value through</t>
  </si>
  <si>
    <t>Loans and receivables designated</t>
  </si>
  <si>
    <t>at fair value through profit or loss</t>
  </si>
  <si>
    <t>Net loans and receivables</t>
  </si>
  <si>
    <t>By Product - Domestic Currecy</t>
  </si>
  <si>
    <t>Overdrafts</t>
  </si>
  <si>
    <t>Term Loans</t>
  </si>
  <si>
    <t>Lease Rentals Receivable</t>
  </si>
  <si>
    <t>Credit Cards</t>
  </si>
  <si>
    <t>Pawning</t>
  </si>
  <si>
    <t>Sub Total</t>
  </si>
  <si>
    <t>By Product - Foreign Currecy</t>
  </si>
  <si>
    <t xml:space="preserve">3) Movements in Individual  and Collective Impairment during the period for </t>
  </si>
  <si>
    <t xml:space="preserve">     Loans and Receivables for Other Customers</t>
  </si>
  <si>
    <t>Individual Impairment</t>
  </si>
  <si>
    <t>Charge/(Write back) to income</t>
  </si>
  <si>
    <t>Statement</t>
  </si>
  <si>
    <t>Write-Off during the year</t>
  </si>
  <si>
    <t>Other Movements</t>
  </si>
  <si>
    <t>Collective Impairment</t>
  </si>
  <si>
    <t>Total Impairment</t>
  </si>
  <si>
    <t>4) Due to Other Customers - By Product</t>
  </si>
  <si>
    <t>Demand Deposits (Current Accounts)</t>
  </si>
  <si>
    <t>Savings Deposits</t>
  </si>
  <si>
    <t>Fixed Deposits</t>
  </si>
  <si>
    <t>1) Loans and Receivables to Other Customers</t>
  </si>
  <si>
    <t>2) Loans and Receivables to Other Customers - By Product</t>
  </si>
  <si>
    <t xml:space="preserve">STATEMENT OF FINANCIAL POSITION </t>
  </si>
  <si>
    <t xml:space="preserve"> </t>
  </si>
  <si>
    <t>ANALYSIS OF FINANCIAL INSTRUMENTS BY MEASUREMENT BASIS</t>
  </si>
  <si>
    <t>In Indian Rupees Thousand</t>
  </si>
  <si>
    <t>Other Loans (Demand /TC)</t>
  </si>
  <si>
    <t>Others-Foreign exchange gain - FCBU</t>
  </si>
  <si>
    <t>Certification</t>
  </si>
  <si>
    <t>HFT</t>
  </si>
  <si>
    <t>Other operating income (net)</t>
  </si>
  <si>
    <t>Earnings per share on profit</t>
  </si>
  <si>
    <t>Equity Holders of the parent</t>
  </si>
  <si>
    <t>Previous Period</t>
  </si>
  <si>
    <t>Current Period</t>
  </si>
  <si>
    <t xml:space="preserve">Current Period </t>
  </si>
  <si>
    <t>Diluted earnings per ordinary share</t>
  </si>
  <si>
    <t xml:space="preserve">Cash and cash equivalents </t>
  </si>
  <si>
    <t>Property, plant and equipment</t>
  </si>
  <si>
    <t>Differed tax assets</t>
  </si>
  <si>
    <t>Financial liabilities designated at fair value</t>
  </si>
  <si>
    <t xml:space="preserve">Non controlling </t>
  </si>
  <si>
    <t>b. Bank - Previous Period</t>
  </si>
  <si>
    <t>Deffered tax liabilities</t>
  </si>
  <si>
    <t>SLDB Bonds</t>
  </si>
  <si>
    <t xml:space="preserve">Trade Finance </t>
  </si>
  <si>
    <t>In Rupees Thousand                                    LKR</t>
  </si>
  <si>
    <t>in INR milion (Audited)</t>
  </si>
  <si>
    <t>(Audited)</t>
  </si>
  <si>
    <t>Core Capital (Tier 1 Capital), Rs.'000</t>
  </si>
  <si>
    <t>Total Capital Base, Rs.'000</t>
  </si>
  <si>
    <t>SELECTED PERFORMANCE INDICATORS (AS PER REGULATORY REPORTING)</t>
  </si>
  <si>
    <t xml:space="preserve">Corporate Governance </t>
  </si>
  <si>
    <t>Risk  Management</t>
  </si>
  <si>
    <t>Compliance Officer</t>
  </si>
  <si>
    <t xml:space="preserve">We, the undersigned, being the Chief Executive Officer and the Compliance Officer of Indian Overseas Bank certify jointly that:
(a) The above statements have been prepared in compliance with the format and definitions prescribed by the Central Bank of Sri Lanka.
</t>
  </si>
  <si>
    <t>S Subamuralitharan</t>
  </si>
  <si>
    <t>c. Group - Current period</t>
  </si>
  <si>
    <t>STATEMENT OF CASH FLOWS</t>
  </si>
  <si>
    <t>Group(in INR)</t>
  </si>
  <si>
    <t>Cash flows from operating activities</t>
  </si>
  <si>
    <t>Profit before tax</t>
  </si>
  <si>
    <t>Adjustment for :</t>
  </si>
  <si>
    <t>Non - cash items included in profits before tax</t>
  </si>
  <si>
    <t>Change in operating assets</t>
  </si>
  <si>
    <t>Change in operating liabilities</t>
  </si>
  <si>
    <t>Net gains from investing activties</t>
  </si>
  <si>
    <t>Profit on disposal of property, plant &amp; equipment</t>
  </si>
  <si>
    <t>Dividend income from subsidiaries and associates</t>
  </si>
  <si>
    <t>Interest expense on subordinated debt</t>
  </si>
  <si>
    <t>Others (Loans written off)</t>
  </si>
  <si>
    <t>Contribution paid to defined benefit plans</t>
  </si>
  <si>
    <t>Tax paid</t>
  </si>
  <si>
    <t>Net cash generated from operating activitiies</t>
  </si>
  <si>
    <t>Cash flows from investing activities</t>
  </si>
  <si>
    <t>Purchase of property, plant &amp; equipment</t>
  </si>
  <si>
    <t xml:space="preserve">Proceeds from the sale of property, plant &amp; equipment </t>
  </si>
  <si>
    <t>Purchase of financial investments</t>
  </si>
  <si>
    <t>Proceeds from the sale and maturity of financial investments</t>
  </si>
  <si>
    <t>Net purchase of intangible assets</t>
  </si>
  <si>
    <t xml:space="preserve">Net cash flow from acquisition of investment in subsidiaries </t>
  </si>
  <si>
    <t>and associates</t>
  </si>
  <si>
    <t>Net cash flow from disposal of subsidiaries</t>
  </si>
  <si>
    <t>Proceds from disposal of associates and joint ventures</t>
  </si>
  <si>
    <t xml:space="preserve">Dividends received from investment in subsidiaries &amp; associates </t>
  </si>
  <si>
    <t>Others (please specify)</t>
  </si>
  <si>
    <t>Net cash (used in) / from investing activities</t>
  </si>
  <si>
    <t>Cash flows from financing activities</t>
  </si>
  <si>
    <t>Net proceeds from the issue of ordinary share capital</t>
  </si>
  <si>
    <t>Net proceeds from the issue of other equity instruments</t>
  </si>
  <si>
    <t>Net proceeds from the issue of subordinated debt</t>
  </si>
  <si>
    <t>Repayment of subordinated debt</t>
  </si>
  <si>
    <t>Interest paid on subordinataed debt</t>
  </si>
  <si>
    <t>Dividend paid to non-controlling interest</t>
  </si>
  <si>
    <t>Dividend paid to shareholders of the parent company</t>
  </si>
  <si>
    <t>Dividend paid to holders of othr equity instruments</t>
  </si>
  <si>
    <t>Others - Borrowings from banks</t>
  </si>
  <si>
    <t>Net cash from financing activities</t>
  </si>
  <si>
    <t>Net increase/(decrease) in cash &amp; cash equivalantes</t>
  </si>
  <si>
    <t>Cash &amp; cash equivalants at the beginning of the period</t>
  </si>
  <si>
    <t>Exchange difference in respect of cash &amp; cash equivalent</t>
  </si>
  <si>
    <t>Cash &amp; cash equivalants at the end of the period</t>
  </si>
  <si>
    <t>in LKR million (Audited)</t>
  </si>
  <si>
    <t xml:space="preserve">The Bank facilitates good Corporate Governance by its commitments for ethical practices in the conduct of its business to ensure transparency and efficiency. Objectives can be summarized as, to protect and enhance share holder value, to protect the interest of all share holders. This will ensure transparency and integrity in communication and to make available full accurate and clear information to all stakeholders concerned, to ensure accountability for excellent customer service levels.
Bank’s full statement on Corporate Governance can be found in the Bank’s Annual Report at https://www.iob.in/Annual_Reports.aspx
</t>
  </si>
  <si>
    <t xml:space="preserve">Opening balance </t>
  </si>
  <si>
    <t>Closing balance</t>
  </si>
  <si>
    <t>Opening balance</t>
  </si>
  <si>
    <t xml:space="preserve">Closing balance at </t>
  </si>
  <si>
    <t xml:space="preserve">Previous Period </t>
  </si>
  <si>
    <t>AS AT 31.03.2017</t>
  </si>
  <si>
    <t>31/03/17</t>
  </si>
  <si>
    <t>Other Deposits (Dormant/Margin/Vostro)</t>
  </si>
  <si>
    <t>Financial Parameters</t>
  </si>
  <si>
    <t>01.04.2017</t>
  </si>
  <si>
    <t>In Rupees Thousand                                    INR</t>
  </si>
  <si>
    <t>(b) The information  contained in these  statements have been extracted from the unaudited financial statement of the Bank, unless indicated as audited.</t>
  </si>
  <si>
    <t>Bank (in LKR)</t>
  </si>
  <si>
    <t>31.03.2018</t>
  </si>
  <si>
    <t>AS AT 31.03.2018</t>
  </si>
  <si>
    <t>d. Group - Previous period</t>
  </si>
  <si>
    <t>31/03/18</t>
  </si>
  <si>
    <t>31/03/2018</t>
  </si>
  <si>
    <t>M Mohan</t>
  </si>
  <si>
    <t>Country Head</t>
  </si>
  <si>
    <t>Risk taking is an integral part of the banking business. Banks assume various types of risks in its activities, while providing different kinds of services based on its risk appetite. In the normal course of business, a bank is exposed to various risks including Credit Risk, Market Risk and Operational Risk. With a view to manage such risks efficiently and strengthen its risk management systems, bank has put in place various risk management measures and practices which includes policies, tools, techniques, monitoring mechanism and Management Information System.
The Bank has adopted the new Capital Adequacy Framework (Basel II) with effect from January 2008. In line with Regulator’s guidelines, the Bank adopted the Standardized Approach (SA) for computation of Credit Risk Capital, Basic Indicator approach for calculating the capital for Operational Risk and Standardized Measurement Method (SMM) for Market Risk Capital computation. The Bank has put in place a Board approved Policy on Internal Capital Adequacy Assessment Process (ICAAP) to address second pillar requirements.</t>
  </si>
  <si>
    <t>01.04.2018</t>
  </si>
  <si>
    <t>Balance as at 01/04/2018</t>
  </si>
  <si>
    <t xml:space="preserve">in LKR million </t>
  </si>
  <si>
    <t xml:space="preserve">in INR milion </t>
  </si>
  <si>
    <t>FOR THE PERIOD ENDED 30.09.2018</t>
  </si>
  <si>
    <t>AS AT 30.09.2018</t>
  </si>
  <si>
    <t>AS AT 30.09.2017</t>
  </si>
  <si>
    <t>30/09/18</t>
  </si>
  <si>
    <t>30.09.2018</t>
  </si>
  <si>
    <t>30.09.2017</t>
  </si>
  <si>
    <t>30/09/2018</t>
  </si>
  <si>
    <t>Date: 16.11.2018</t>
  </si>
  <si>
    <t>Balance as at  30/09/2018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</si>
</sst>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_-;\-* #,##0_-;_-* &quot;-&quot;_-;_-@_-"/>
  </numFmts>
  <fonts count="17"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2"/>
      <color indexed="8"/>
      <name val="Calibri"/>
      <family val="2"/>
    </font>
    <font>
      <sz val="12"/>
      <color indexed="8"/>
      <name val="Calibri"/>
      <family val="2"/>
    </font>
    <font>
      <sz val="10"/>
      <color indexed="8"/>
      <name val="Calibri"/>
      <family val="2"/>
    </font>
    <font>
      <sz val="12"/>
      <name val="Calibri"/>
      <family val="2"/>
    </font>
    <font>
      <sz val="11"/>
      <color indexed="8"/>
      <name val="Calibri"/>
      <family val="2"/>
    </font>
    <font>
      <b/>
      <sz val="11"/>
      <color indexed="8"/>
      <name val="Calibri"/>
      <family val="2"/>
    </font>
    <font>
      <b/>
      <sz val="12"/>
      <name val="Calibri"/>
      <family val="2"/>
    </font>
    <font>
      <sz val="10"/>
      <name val="Calibri"/>
      <family val="2"/>
    </font>
    <font>
      <sz val="10"/>
      <color indexed="17"/>
      <name val="Arial"/>
      <family val="2"/>
    </font>
    <font>
      <sz val="9"/>
      <color indexed="81"/>
      <name val="Tahoma"/>
      <family val="2"/>
    </font>
    <font>
      <b/>
      <sz val="9"/>
      <color indexed="81"/>
      <name val="Tahoma"/>
      <family val="2"/>
    </font>
    <font>
      <sz val="12"/>
      <name val="Calibri"/>
      <family val="2"/>
      <scheme val="minor"/>
    </font>
    <font>
      <b/>
      <sz val="11"/>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3" fontId="1" fillId="0" borderId="0" applyFont="0" applyFill="0" applyBorder="0" applyAlignment="0" applyProtection="0"/>
    <xf numFmtId="9" fontId="8" fillId="0" borderId="0" applyFont="0" applyFill="0" applyBorder="0" applyAlignment="0" applyProtection="0"/>
    <xf numFmtId="43" fontId="1" fillId="0" borderId="0" applyFont="0" applyFill="0" applyBorder="0" applyAlignment="0" applyProtection="0"/>
  </cellStyleXfs>
  <cellXfs count="362">
    <xf numFmtId="0" fontId="0" fillId="0" borderId="0" xfId="0"/>
    <xf numFmtId="49" fontId="0" fillId="0" borderId="0" xfId="0" applyNumberFormat="1"/>
    <xf numFmtId="49" fontId="4" fillId="0" borderId="0" xfId="0" applyNumberFormat="1" applyFont="1"/>
    <xf numFmtId="49" fontId="5" fillId="0" borderId="0" xfId="0" applyNumberFormat="1" applyFont="1"/>
    <xf numFmtId="49" fontId="5" fillId="0" borderId="0" xfId="0" applyNumberFormat="1" applyFont="1" applyBorder="1"/>
    <xf numFmtId="49" fontId="4" fillId="0" borderId="0" xfId="0" applyNumberFormat="1" applyFont="1" applyBorder="1"/>
    <xf numFmtId="49" fontId="5" fillId="0" borderId="4" xfId="0" applyNumberFormat="1" applyFont="1" applyBorder="1"/>
    <xf numFmtId="164" fontId="5" fillId="0" borderId="0" xfId="1" applyNumberFormat="1" applyFont="1"/>
    <xf numFmtId="164" fontId="2" fillId="0" borderId="0" xfId="1" applyNumberFormat="1" applyFont="1"/>
    <xf numFmtId="49" fontId="3" fillId="0" borderId="0" xfId="0" applyNumberFormat="1" applyFont="1"/>
    <xf numFmtId="49" fontId="0" fillId="0" borderId="0" xfId="0" applyNumberFormat="1" applyFont="1"/>
    <xf numFmtId="2" fontId="0" fillId="0" borderId="0" xfId="0" applyNumberFormat="1"/>
    <xf numFmtId="43" fontId="2" fillId="0" borderId="0" xfId="1" applyFont="1"/>
    <xf numFmtId="2" fontId="2" fillId="0" borderId="0" xfId="1" applyNumberFormat="1" applyFont="1"/>
    <xf numFmtId="4" fontId="2" fillId="0" borderId="0" xfId="1" applyNumberFormat="1" applyFont="1"/>
    <xf numFmtId="49" fontId="6" fillId="0" borderId="0" xfId="0" applyNumberFormat="1" applyFont="1" applyBorder="1"/>
    <xf numFmtId="0" fontId="0" fillId="0" borderId="0" xfId="0" applyBorder="1"/>
    <xf numFmtId="0" fontId="3" fillId="0" borderId="0" xfId="0" applyFont="1"/>
    <xf numFmtId="0" fontId="3" fillId="0" borderId="0" xfId="0" applyFont="1" applyBorder="1"/>
    <xf numFmtId="164" fontId="4" fillId="0" borderId="0" xfId="1" applyNumberFormat="1" applyFont="1" applyBorder="1"/>
    <xf numFmtId="164" fontId="8" fillId="0" borderId="0" xfId="1" applyNumberFormat="1" applyFont="1"/>
    <xf numFmtId="164" fontId="8" fillId="0" borderId="0" xfId="1" applyNumberFormat="1" applyFont="1" applyBorder="1"/>
    <xf numFmtId="0" fontId="4" fillId="0" borderId="0" xfId="0" applyFont="1"/>
    <xf numFmtId="164" fontId="0" fillId="0" borderId="0" xfId="0" applyNumberFormat="1"/>
    <xf numFmtId="164" fontId="0" fillId="0" borderId="0" xfId="0" applyNumberFormat="1" applyBorder="1"/>
    <xf numFmtId="49" fontId="5" fillId="0" borderId="0" xfId="0" applyNumberFormat="1" applyFont="1" applyAlignment="1">
      <alignment horizontal="center"/>
    </xf>
    <xf numFmtId="49" fontId="4" fillId="0" borderId="5" xfId="0" applyNumberFormat="1" applyFont="1" applyBorder="1"/>
    <xf numFmtId="49" fontId="5" fillId="0" borderId="5" xfId="0" applyNumberFormat="1" applyFont="1" applyBorder="1"/>
    <xf numFmtId="2" fontId="5" fillId="0" borderId="5" xfId="1" applyNumberFormat="1" applyFont="1" applyBorder="1"/>
    <xf numFmtId="164" fontId="5" fillId="0" borderId="5" xfId="1" applyNumberFormat="1" applyFont="1" applyBorder="1"/>
    <xf numFmtId="164" fontId="4" fillId="0" borderId="5" xfId="1" applyNumberFormat="1" applyFont="1" applyBorder="1"/>
    <xf numFmtId="49" fontId="5" fillId="2" borderId="0" xfId="0" applyNumberFormat="1" applyFont="1" applyFill="1"/>
    <xf numFmtId="2" fontId="4" fillId="0" borderId="5" xfId="0" applyNumberFormat="1" applyFont="1" applyBorder="1"/>
    <xf numFmtId="49" fontId="5" fillId="2" borderId="1" xfId="0" applyNumberFormat="1" applyFont="1" applyFill="1" applyBorder="1"/>
    <xf numFmtId="0" fontId="0" fillId="0" borderId="5" xfId="0" applyBorder="1"/>
    <xf numFmtId="0" fontId="0" fillId="0" borderId="6" xfId="0" applyBorder="1"/>
    <xf numFmtId="0" fontId="9" fillId="0" borderId="5" xfId="0" applyFont="1" applyBorder="1"/>
    <xf numFmtId="0" fontId="3" fillId="0" borderId="4" xfId="0" applyFont="1" applyBorder="1" applyAlignment="1">
      <alignment horizontal="center"/>
    </xf>
    <xf numFmtId="0" fontId="3" fillId="0" borderId="7" xfId="0" applyFont="1" applyBorder="1" applyAlignment="1">
      <alignment horizontal="center"/>
    </xf>
    <xf numFmtId="0" fontId="3" fillId="0" borderId="6" xfId="0" applyFont="1" applyBorder="1"/>
    <xf numFmtId="0" fontId="0" fillId="2" borderId="8" xfId="0" applyFill="1" applyBorder="1"/>
    <xf numFmtId="0" fontId="0" fillId="2" borderId="0" xfId="0" applyFill="1"/>
    <xf numFmtId="0" fontId="0" fillId="2" borderId="1" xfId="0" applyFill="1" applyBorder="1"/>
    <xf numFmtId="0" fontId="0" fillId="2" borderId="9" xfId="0" applyFill="1" applyBorder="1"/>
    <xf numFmtId="0" fontId="0" fillId="2" borderId="10" xfId="0" applyFill="1" applyBorder="1"/>
    <xf numFmtId="0" fontId="0" fillId="2" borderId="0" xfId="0" applyFill="1" applyBorder="1"/>
    <xf numFmtId="0" fontId="3" fillId="0" borderId="11" xfId="0" applyFont="1" applyBorder="1" applyAlignment="1">
      <alignment horizontal="center"/>
    </xf>
    <xf numFmtId="0" fontId="3" fillId="2" borderId="10" xfId="0" applyFont="1" applyFill="1" applyBorder="1"/>
    <xf numFmtId="0" fontId="3" fillId="0" borderId="12" xfId="0" applyFont="1" applyBorder="1" applyAlignment="1">
      <alignment horizontal="center"/>
    </xf>
    <xf numFmtId="0" fontId="0" fillId="2" borderId="13" xfId="0" applyFill="1" applyBorder="1"/>
    <xf numFmtId="0" fontId="3" fillId="0" borderId="14" xfId="0" applyFont="1" applyBorder="1"/>
    <xf numFmtId="0" fontId="3" fillId="0" borderId="15" xfId="0" applyFont="1" applyBorder="1"/>
    <xf numFmtId="0" fontId="0" fillId="0" borderId="16" xfId="0" applyBorder="1"/>
    <xf numFmtId="0" fontId="9" fillId="0" borderId="16" xfId="0" applyFont="1" applyBorder="1"/>
    <xf numFmtId="49" fontId="5" fillId="2" borderId="7" xfId="0" applyNumberFormat="1" applyFont="1" applyFill="1" applyBorder="1"/>
    <xf numFmtId="49" fontId="5" fillId="2" borderId="4" xfId="0" applyNumberFormat="1" applyFont="1" applyFill="1" applyBorder="1"/>
    <xf numFmtId="49" fontId="4" fillId="2" borderId="7" xfId="0" applyNumberFormat="1" applyFont="1" applyFill="1" applyBorder="1"/>
    <xf numFmtId="49" fontId="5" fillId="2" borderId="6" xfId="0" applyNumberFormat="1" applyFont="1" applyFill="1" applyBorder="1"/>
    <xf numFmtId="164" fontId="5" fillId="2" borderId="1" xfId="1" applyNumberFormat="1" applyFont="1" applyFill="1" applyBorder="1"/>
    <xf numFmtId="49" fontId="5" fillId="2" borderId="18" xfId="0" applyNumberFormat="1" applyFont="1" applyFill="1" applyBorder="1"/>
    <xf numFmtId="49" fontId="5" fillId="2" borderId="19" xfId="0" applyNumberFormat="1" applyFont="1" applyFill="1" applyBorder="1"/>
    <xf numFmtId="49" fontId="4" fillId="0" borderId="5" xfId="0" applyNumberFormat="1" applyFont="1" applyBorder="1" applyAlignment="1"/>
    <xf numFmtId="49" fontId="5" fillId="0" borderId="5" xfId="0" applyNumberFormat="1" applyFont="1" applyBorder="1" applyAlignment="1"/>
    <xf numFmtId="164" fontId="5" fillId="0" borderId="5" xfId="1" applyNumberFormat="1" applyFont="1" applyBorder="1" applyAlignment="1"/>
    <xf numFmtId="49" fontId="4" fillId="2" borderId="3" xfId="0" applyNumberFormat="1" applyFont="1" applyFill="1" applyBorder="1"/>
    <xf numFmtId="49" fontId="4" fillId="2" borderId="0" xfId="0" applyNumberFormat="1" applyFont="1" applyFill="1" applyBorder="1"/>
    <xf numFmtId="49" fontId="5" fillId="2" borderId="0" xfId="0" applyNumberFormat="1" applyFont="1" applyFill="1" applyBorder="1"/>
    <xf numFmtId="49" fontId="5" fillId="0" borderId="20" xfId="0" applyNumberFormat="1" applyFont="1" applyBorder="1" applyAlignment="1"/>
    <xf numFmtId="164" fontId="5" fillId="0" borderId="17" xfId="1" applyNumberFormat="1" applyFont="1" applyBorder="1" applyAlignment="1"/>
    <xf numFmtId="164" fontId="5" fillId="0" borderId="17" xfId="1" applyNumberFormat="1" applyFont="1" applyBorder="1"/>
    <xf numFmtId="49" fontId="4" fillId="2" borderId="0" xfId="0" applyNumberFormat="1" applyFont="1" applyFill="1" applyBorder="1" applyAlignment="1"/>
    <xf numFmtId="49" fontId="0" fillId="0" borderId="0" xfId="0" applyNumberFormat="1" applyBorder="1"/>
    <xf numFmtId="49" fontId="4" fillId="2" borderId="4" xfId="0" applyNumberFormat="1" applyFont="1" applyFill="1" applyBorder="1" applyAlignment="1">
      <alignment horizontal="center"/>
    </xf>
    <xf numFmtId="49" fontId="4" fillId="2" borderId="7" xfId="0" applyNumberFormat="1" applyFont="1" applyFill="1" applyBorder="1" applyAlignment="1">
      <alignment horizontal="center"/>
    </xf>
    <xf numFmtId="49" fontId="4" fillId="2" borderId="6" xfId="0" applyNumberFormat="1" applyFont="1" applyFill="1" applyBorder="1" applyAlignment="1">
      <alignment horizontal="center"/>
    </xf>
    <xf numFmtId="0" fontId="0" fillId="2" borderId="4" xfId="0" applyFill="1" applyBorder="1" applyAlignment="1"/>
    <xf numFmtId="49" fontId="4" fillId="2" borderId="4" xfId="0" applyNumberFormat="1" applyFont="1" applyFill="1" applyBorder="1" applyAlignment="1">
      <alignment horizontal="right"/>
    </xf>
    <xf numFmtId="49" fontId="4" fillId="2" borderId="7" xfId="0" applyNumberFormat="1" applyFont="1" applyFill="1" applyBorder="1" applyAlignment="1">
      <alignment horizontal="center" wrapText="1"/>
    </xf>
    <xf numFmtId="49" fontId="0" fillId="2" borderId="0" xfId="0" applyNumberFormat="1" applyFill="1"/>
    <xf numFmtId="164" fontId="2" fillId="2" borderId="0" xfId="1" applyNumberFormat="1" applyFont="1" applyFill="1"/>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4" xfId="0" applyNumberFormat="1" applyFont="1" applyFill="1" applyBorder="1"/>
    <xf numFmtId="49" fontId="4" fillId="2" borderId="6" xfId="0" applyNumberFormat="1" applyFont="1" applyFill="1" applyBorder="1"/>
    <xf numFmtId="49" fontId="5" fillId="2" borderId="22" xfId="0" applyNumberFormat="1" applyFont="1" applyFill="1" applyBorder="1"/>
    <xf numFmtId="2" fontId="5" fillId="0" borderId="5" xfId="0" applyNumberFormat="1" applyFont="1" applyBorder="1"/>
    <xf numFmtId="164" fontId="8" fillId="0" borderId="5" xfId="1" applyNumberFormat="1" applyFont="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2" borderId="6" xfId="0" applyFont="1" applyFill="1" applyBorder="1"/>
    <xf numFmtId="0" fontId="0" fillId="0" borderId="17" xfId="0" applyBorder="1"/>
    <xf numFmtId="0" fontId="3" fillId="2" borderId="11" xfId="0" applyFont="1" applyFill="1" applyBorder="1" applyAlignment="1">
      <alignment horizontal="center"/>
    </xf>
    <xf numFmtId="0" fontId="3" fillId="2" borderId="12" xfId="0" applyFont="1" applyFill="1" applyBorder="1" applyAlignment="1">
      <alignment horizontal="center"/>
    </xf>
    <xf numFmtId="0" fontId="3" fillId="2" borderId="14" xfId="0" applyFont="1" applyFill="1" applyBorder="1"/>
    <xf numFmtId="164" fontId="4" fillId="2" borderId="0" xfId="1" applyNumberFormat="1" applyFont="1" applyFill="1" applyBorder="1"/>
    <xf numFmtId="0" fontId="3" fillId="0" borderId="23" xfId="0" applyFont="1" applyBorder="1"/>
    <xf numFmtId="0" fontId="9" fillId="0" borderId="24" xfId="0" applyFont="1" applyBorder="1"/>
    <xf numFmtId="164" fontId="5" fillId="2" borderId="25" xfId="1" applyNumberFormat="1" applyFont="1" applyFill="1" applyBorder="1"/>
    <xf numFmtId="49" fontId="5" fillId="0" borderId="18" xfId="0" applyNumberFormat="1" applyFont="1" applyBorder="1"/>
    <xf numFmtId="164" fontId="5" fillId="0" borderId="0" xfId="1" applyNumberFormat="1" applyFont="1" applyBorder="1"/>
    <xf numFmtId="164" fontId="5" fillId="0" borderId="26" xfId="1" applyNumberFormat="1" applyFont="1" applyBorder="1"/>
    <xf numFmtId="49" fontId="5" fillId="2" borderId="26" xfId="0" applyNumberFormat="1" applyFont="1" applyFill="1" applyBorder="1"/>
    <xf numFmtId="49" fontId="5" fillId="2" borderId="27" xfId="0" applyNumberFormat="1" applyFont="1" applyFill="1" applyBorder="1"/>
    <xf numFmtId="49" fontId="5" fillId="2" borderId="28" xfId="0" applyNumberFormat="1" applyFont="1" applyFill="1" applyBorder="1"/>
    <xf numFmtId="164" fontId="5" fillId="0" borderId="20" xfId="1" applyNumberFormat="1" applyFont="1" applyBorder="1" applyAlignment="1"/>
    <xf numFmtId="2" fontId="5" fillId="0" borderId="20" xfId="0" applyNumberFormat="1" applyFont="1" applyBorder="1" applyAlignment="1"/>
    <xf numFmtId="164" fontId="4" fillId="0" borderId="20" xfId="1" applyNumberFormat="1" applyFont="1" applyBorder="1" applyAlignment="1"/>
    <xf numFmtId="49" fontId="5" fillId="0" borderId="5" xfId="0" applyNumberFormat="1" applyFont="1" applyBorder="1" applyAlignment="1">
      <alignment horizontal="right"/>
    </xf>
    <xf numFmtId="3" fontId="5" fillId="0" borderId="5" xfId="0" applyNumberFormat="1" applyFont="1" applyBorder="1" applyAlignment="1">
      <alignment horizontal="right"/>
    </xf>
    <xf numFmtId="0" fontId="9" fillId="0" borderId="29" xfId="0" applyFont="1" applyBorder="1"/>
    <xf numFmtId="0" fontId="9" fillId="0" borderId="30" xfId="0" applyFont="1" applyBorder="1"/>
    <xf numFmtId="0" fontId="0" fillId="0" borderId="4" xfId="0" applyBorder="1"/>
    <xf numFmtId="0" fontId="3" fillId="0" borderId="31" xfId="0" applyFont="1" applyBorder="1"/>
    <xf numFmtId="164" fontId="4" fillId="0" borderId="4" xfId="1" applyNumberFormat="1" applyFont="1" applyBorder="1" applyAlignment="1">
      <alignment horizontal="center" wrapText="1"/>
    </xf>
    <xf numFmtId="164" fontId="4" fillId="2" borderId="7" xfId="1" applyNumberFormat="1" applyFont="1" applyFill="1" applyBorder="1" applyAlignment="1">
      <alignment horizontal="center"/>
    </xf>
    <xf numFmtId="164" fontId="4" fillId="0" borderId="6" xfId="1" applyNumberFormat="1" applyFont="1" applyBorder="1" applyAlignment="1">
      <alignment horizontal="center"/>
    </xf>
    <xf numFmtId="2" fontId="4" fillId="2" borderId="7" xfId="1" applyNumberFormat="1" applyFont="1" applyFill="1" applyBorder="1" applyAlignment="1">
      <alignment horizontal="center"/>
    </xf>
    <xf numFmtId="2" fontId="4" fillId="2" borderId="6" xfId="1" applyNumberFormat="1" applyFont="1" applyFill="1" applyBorder="1" applyAlignment="1">
      <alignment horizontal="center"/>
    </xf>
    <xf numFmtId="0" fontId="3" fillId="0" borderId="32" xfId="0" applyFont="1" applyBorder="1"/>
    <xf numFmtId="0" fontId="9" fillId="0" borderId="33" xfId="0" applyFont="1" applyBorder="1"/>
    <xf numFmtId="2" fontId="5" fillId="0" borderId="5" xfId="0" applyNumberFormat="1" applyFont="1" applyBorder="1" applyAlignment="1">
      <alignment horizontal="center"/>
    </xf>
    <xf numFmtId="49" fontId="5" fillId="0" borderId="5" xfId="0" applyNumberFormat="1" applyFont="1" applyBorder="1" applyAlignment="1">
      <alignment horizontal="center"/>
    </xf>
    <xf numFmtId="164" fontId="5" fillId="0" borderId="5" xfId="1" applyNumberFormat="1" applyFont="1" applyBorder="1" applyAlignment="1">
      <alignment horizontal="center"/>
    </xf>
    <xf numFmtId="0" fontId="3" fillId="2" borderId="34" xfId="0" applyFont="1" applyFill="1" applyBorder="1" applyAlignment="1">
      <alignment horizontal="center"/>
    </xf>
    <xf numFmtId="0" fontId="3" fillId="2" borderId="35" xfId="0" applyFont="1" applyFill="1" applyBorder="1" applyAlignment="1">
      <alignment horizontal="center"/>
    </xf>
    <xf numFmtId="0" fontId="3" fillId="2" borderId="36" xfId="0" applyFont="1" applyFill="1" applyBorder="1"/>
    <xf numFmtId="0" fontId="0" fillId="0" borderId="29" xfId="0" applyBorder="1"/>
    <xf numFmtId="4" fontId="0" fillId="0" borderId="5" xfId="0" applyNumberFormat="1" applyBorder="1"/>
    <xf numFmtId="4" fontId="0" fillId="0" borderId="16" xfId="0" applyNumberFormat="1" applyBorder="1"/>
    <xf numFmtId="4" fontId="0" fillId="0" borderId="6" xfId="0" applyNumberFormat="1" applyBorder="1"/>
    <xf numFmtId="4" fontId="0" fillId="0" borderId="14" xfId="0" applyNumberFormat="1" applyBorder="1"/>
    <xf numFmtId="4" fontId="9" fillId="0" borderId="5" xfId="0" applyNumberFormat="1" applyFont="1" applyBorder="1"/>
    <xf numFmtId="4" fontId="9" fillId="0" borderId="16" xfId="0" applyNumberFormat="1" applyFont="1" applyBorder="1"/>
    <xf numFmtId="4" fontId="9" fillId="0" borderId="29" xfId="0" applyNumberFormat="1" applyFont="1" applyBorder="1"/>
    <xf numFmtId="4" fontId="9" fillId="0" borderId="30" xfId="0" applyNumberFormat="1" applyFont="1" applyBorder="1"/>
    <xf numFmtId="4" fontId="9" fillId="0" borderId="37" xfId="0" applyNumberFormat="1" applyFont="1" applyBorder="1"/>
    <xf numFmtId="3" fontId="0" fillId="0" borderId="6" xfId="0" applyNumberFormat="1" applyBorder="1"/>
    <xf numFmtId="3" fontId="0" fillId="0" borderId="5" xfId="0" applyNumberFormat="1" applyBorder="1"/>
    <xf numFmtId="3" fontId="0" fillId="0" borderId="16" xfId="0" applyNumberFormat="1" applyBorder="1"/>
    <xf numFmtId="3" fontId="0" fillId="0" borderId="29" xfId="0" applyNumberFormat="1" applyBorder="1"/>
    <xf numFmtId="3" fontId="0" fillId="0" borderId="30" xfId="0" applyNumberFormat="1" applyBorder="1"/>
    <xf numFmtId="3" fontId="0" fillId="0" borderId="0" xfId="0" applyNumberFormat="1" applyBorder="1"/>
    <xf numFmtId="3" fontId="0" fillId="0" borderId="0" xfId="0" applyNumberFormat="1"/>
    <xf numFmtId="49" fontId="5" fillId="0" borderId="0" xfId="0" applyNumberFormat="1" applyFont="1" applyFill="1"/>
    <xf numFmtId="3" fontId="9" fillId="0" borderId="0" xfId="0" applyNumberFormat="1" applyFont="1" applyBorder="1"/>
    <xf numFmtId="2" fontId="3" fillId="0" borderId="0" xfId="0" applyNumberFormat="1" applyFont="1"/>
    <xf numFmtId="49" fontId="5" fillId="0" borderId="5" xfId="0" applyNumberFormat="1" applyFont="1" applyFill="1" applyBorder="1" applyAlignment="1">
      <alignment horizontal="right"/>
    </xf>
    <xf numFmtId="3" fontId="5" fillId="0" borderId="5" xfId="0" applyNumberFormat="1" applyFont="1" applyFill="1" applyBorder="1" applyAlignment="1">
      <alignment horizontal="right"/>
    </xf>
    <xf numFmtId="3" fontId="0" fillId="0" borderId="17" xfId="0" applyNumberFormat="1" applyFill="1" applyBorder="1"/>
    <xf numFmtId="164" fontId="3" fillId="0" borderId="5" xfId="1" applyNumberFormat="1" applyFont="1" applyBorder="1"/>
    <xf numFmtId="164" fontId="5" fillId="0" borderId="5" xfId="1" applyNumberFormat="1" applyFont="1" applyFill="1" applyBorder="1"/>
    <xf numFmtId="0" fontId="7" fillId="0" borderId="0" xfId="0" applyFont="1" applyAlignment="1">
      <alignment horizontal="left" wrapText="1"/>
    </xf>
    <xf numFmtId="0" fontId="7" fillId="0" borderId="0" xfId="0" applyFont="1" applyAlignment="1">
      <alignment horizontal="left"/>
    </xf>
    <xf numFmtId="164" fontId="5" fillId="0" borderId="5" xfId="2" applyNumberFormat="1" applyFont="1" applyBorder="1"/>
    <xf numFmtId="164" fontId="0" fillId="0" borderId="0" xfId="1" applyNumberFormat="1" applyFont="1"/>
    <xf numFmtId="10" fontId="5" fillId="0" borderId="5" xfId="3" applyNumberFormat="1" applyFont="1" applyBorder="1" applyAlignment="1">
      <alignment horizontal="right"/>
    </xf>
    <xf numFmtId="0" fontId="10" fillId="0" borderId="0" xfId="0" applyFont="1" applyAlignment="1">
      <alignment horizontal="left"/>
    </xf>
    <xf numFmtId="0" fontId="11" fillId="0" borderId="0" xfId="0" applyFont="1" applyBorder="1"/>
    <xf numFmtId="165" fontId="11" fillId="0" borderId="0" xfId="0" applyNumberFormat="1" applyFont="1" applyBorder="1"/>
    <xf numFmtId="2" fontId="3" fillId="0" borderId="0" xfId="1" applyNumberFormat="1" applyFont="1"/>
    <xf numFmtId="49" fontId="5" fillId="2" borderId="5" xfId="0" applyNumberFormat="1" applyFont="1" applyFill="1" applyBorder="1"/>
    <xf numFmtId="3" fontId="0" fillId="0" borderId="25" xfId="0" applyNumberFormat="1" applyFill="1" applyBorder="1"/>
    <xf numFmtId="49" fontId="4" fillId="5" borderId="4" xfId="0" applyNumberFormat="1" applyFont="1" applyFill="1" applyBorder="1"/>
    <xf numFmtId="49" fontId="4" fillId="5" borderId="4" xfId="0" applyNumberFormat="1" applyFont="1" applyFill="1" applyBorder="1" applyAlignment="1">
      <alignment horizontal="center" vertical="center"/>
    </xf>
    <xf numFmtId="49" fontId="5" fillId="5" borderId="7" xfId="0" applyNumberFormat="1" applyFont="1" applyFill="1" applyBorder="1"/>
    <xf numFmtId="49" fontId="4" fillId="5" borderId="7" xfId="0" applyNumberFormat="1" applyFont="1" applyFill="1" applyBorder="1" applyAlignment="1">
      <alignment horizontal="center" vertical="center"/>
    </xf>
    <xf numFmtId="49" fontId="4" fillId="5" borderId="6" xfId="0" applyNumberFormat="1" applyFont="1" applyFill="1" applyBorder="1"/>
    <xf numFmtId="49" fontId="4" fillId="5" borderId="6" xfId="0" applyNumberFormat="1" applyFont="1" applyFill="1" applyBorder="1" applyAlignment="1">
      <alignment horizontal="center" vertical="center"/>
    </xf>
    <xf numFmtId="164" fontId="4" fillId="0" borderId="5" xfId="2" applyNumberFormat="1" applyFont="1" applyBorder="1"/>
    <xf numFmtId="164" fontId="5" fillId="0" borderId="0" xfId="2" applyNumberFormat="1" applyFont="1" applyBorder="1"/>
    <xf numFmtId="164" fontId="5" fillId="0" borderId="26" xfId="2" applyNumberFormat="1" applyFont="1" applyBorder="1"/>
    <xf numFmtId="49" fontId="5" fillId="5" borderId="18" xfId="0" applyNumberFormat="1" applyFont="1" applyFill="1" applyBorder="1"/>
    <xf numFmtId="49" fontId="5" fillId="5" borderId="0" xfId="0" applyNumberFormat="1" applyFont="1" applyFill="1" applyBorder="1"/>
    <xf numFmtId="49" fontId="5" fillId="5" borderId="26" xfId="0" applyNumberFormat="1" applyFont="1" applyFill="1" applyBorder="1"/>
    <xf numFmtId="49" fontId="5" fillId="5" borderId="27" xfId="0" applyNumberFormat="1" applyFont="1" applyFill="1" applyBorder="1"/>
    <xf numFmtId="49" fontId="5" fillId="5" borderId="22" xfId="0" applyNumberFormat="1" applyFont="1" applyFill="1" applyBorder="1"/>
    <xf numFmtId="49" fontId="5" fillId="5" borderId="28" xfId="0" applyNumberFormat="1" applyFont="1" applyFill="1" applyBorder="1"/>
    <xf numFmtId="164" fontId="5" fillId="0" borderId="5" xfId="2" applyNumberFormat="1" applyFont="1" applyFill="1" applyBorder="1"/>
    <xf numFmtId="43" fontId="12" fillId="0" borderId="0" xfId="1" applyFont="1"/>
    <xf numFmtId="1" fontId="0" fillId="0" borderId="0" xfId="0" applyNumberFormat="1"/>
    <xf numFmtId="43" fontId="0" fillId="0" borderId="0" xfId="1" applyFont="1"/>
    <xf numFmtId="164" fontId="9" fillId="0" borderId="0" xfId="1" applyNumberFormat="1" applyFont="1" applyBorder="1"/>
    <xf numFmtId="43" fontId="0" fillId="0" borderId="0" xfId="0" applyNumberFormat="1"/>
    <xf numFmtId="43" fontId="0" fillId="0" borderId="0" xfId="0" applyNumberFormat="1" applyBorder="1"/>
    <xf numFmtId="164" fontId="3" fillId="2" borderId="4" xfId="1" applyNumberFormat="1" applyFont="1" applyFill="1" applyBorder="1" applyAlignment="1">
      <alignment horizontal="center"/>
    </xf>
    <xf numFmtId="164" fontId="3" fillId="2" borderId="7" xfId="1" applyNumberFormat="1" applyFont="1" applyFill="1" applyBorder="1" applyAlignment="1">
      <alignment horizontal="center"/>
    </xf>
    <xf numFmtId="164" fontId="3" fillId="2" borderId="6" xfId="1" applyNumberFormat="1" applyFont="1" applyFill="1" applyBorder="1"/>
    <xf numFmtId="164" fontId="0" fillId="0" borderId="5" xfId="1" applyNumberFormat="1" applyFont="1" applyBorder="1"/>
    <xf numFmtId="164" fontId="0" fillId="0" borderId="0" xfId="1" applyNumberFormat="1" applyFont="1" applyBorder="1"/>
    <xf numFmtId="0" fontId="3" fillId="0" borderId="0" xfId="0" applyFont="1" applyAlignment="1"/>
    <xf numFmtId="3" fontId="9" fillId="0" borderId="5" xfId="0" applyNumberFormat="1" applyFont="1" applyFill="1" applyBorder="1"/>
    <xf numFmtId="3" fontId="0" fillId="0" borderId="5" xfId="0" applyNumberFormat="1" applyFill="1" applyBorder="1"/>
    <xf numFmtId="3" fontId="9" fillId="0" borderId="29" xfId="0" applyNumberFormat="1" applyFont="1" applyFill="1" applyBorder="1"/>
    <xf numFmtId="3" fontId="9" fillId="0" borderId="37" xfId="0" applyNumberFormat="1" applyFont="1" applyFill="1" applyBorder="1"/>
    <xf numFmtId="164" fontId="4" fillId="0" borderId="5" xfId="1" applyNumberFormat="1" applyFont="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5" fillId="2" borderId="25" xfId="0" applyNumberFormat="1" applyFont="1" applyFill="1" applyBorder="1"/>
    <xf numFmtId="164" fontId="8" fillId="0" borderId="5" xfId="1" applyNumberFormat="1" applyFont="1" applyFill="1" applyBorder="1"/>
    <xf numFmtId="164" fontId="4" fillId="0" borderId="5" xfId="2" applyNumberFormat="1" applyFont="1" applyFill="1" applyBorder="1"/>
    <xf numFmtId="164" fontId="4" fillId="0" borderId="4" xfId="2" applyNumberFormat="1" applyFont="1" applyBorder="1" applyAlignment="1">
      <alignment horizontal="center" wrapText="1"/>
    </xf>
    <xf numFmtId="164" fontId="4" fillId="2" borderId="7" xfId="2" applyNumberFormat="1" applyFont="1" applyFill="1" applyBorder="1" applyAlignment="1">
      <alignment horizontal="center"/>
    </xf>
    <xf numFmtId="164" fontId="4" fillId="0" borderId="6" xfId="2" applyNumberFormat="1" applyFont="1" applyBorder="1" applyAlignment="1">
      <alignment horizontal="center"/>
    </xf>
    <xf numFmtId="2" fontId="4" fillId="2" borderId="6" xfId="2" applyNumberFormat="1" applyFont="1" applyFill="1" applyBorder="1" applyAlignment="1">
      <alignment horizontal="center"/>
    </xf>
    <xf numFmtId="164" fontId="4" fillId="0" borderId="5" xfId="1" applyNumberFormat="1" applyFont="1" applyBorder="1" applyAlignment="1"/>
    <xf numFmtId="164" fontId="4" fillId="0" borderId="17" xfId="1" applyNumberFormat="1" applyFont="1" applyBorder="1" applyAlignment="1"/>
    <xf numFmtId="49" fontId="4" fillId="0" borderId="5" xfId="0" applyNumberFormat="1" applyFont="1" applyFill="1" applyBorder="1" applyAlignment="1">
      <alignment horizontal="center" vertical="center" wrapText="1"/>
    </xf>
    <xf numFmtId="49" fontId="4" fillId="0" borderId="0" xfId="0" applyNumberFormat="1" applyFont="1" applyFill="1" applyBorder="1"/>
    <xf numFmtId="0" fontId="3" fillId="0" borderId="6" xfId="0" applyFont="1" applyFill="1" applyBorder="1"/>
    <xf numFmtId="2" fontId="16" fillId="0" borderId="0" xfId="0" applyNumberFormat="1" applyFont="1"/>
    <xf numFmtId="49" fontId="16" fillId="0" borderId="0" xfId="0" applyNumberFormat="1" applyFont="1"/>
    <xf numFmtId="9" fontId="5" fillId="0" borderId="5" xfId="3" applyFont="1" applyBorder="1" applyAlignment="1">
      <alignment horizontal="right"/>
    </xf>
    <xf numFmtId="49" fontId="4" fillId="0" borderId="7" xfId="0" applyNumberFormat="1" applyFont="1" applyFill="1" applyBorder="1" applyAlignment="1">
      <alignment horizontal="center"/>
    </xf>
    <xf numFmtId="10" fontId="15" fillId="0" borderId="7" xfId="0" applyNumberFormat="1" applyFont="1" applyFill="1" applyBorder="1"/>
    <xf numFmtId="10" fontId="5" fillId="0" borderId="5" xfId="3" applyNumberFormat="1" applyFont="1" applyFill="1" applyBorder="1" applyAlignment="1">
      <alignment horizontal="right"/>
    </xf>
    <xf numFmtId="43" fontId="0" fillId="0" borderId="17" xfId="1" applyFont="1" applyFill="1" applyBorder="1"/>
    <xf numFmtId="0" fontId="0" fillId="0" borderId="0" xfId="0" applyFill="1"/>
    <xf numFmtId="49" fontId="5" fillId="0" borderId="38" xfId="0" applyNumberFormat="1" applyFont="1" applyFill="1" applyBorder="1"/>
    <xf numFmtId="49" fontId="4" fillId="0" borderId="18" xfId="0" applyNumberFormat="1" applyFont="1" applyFill="1" applyBorder="1"/>
    <xf numFmtId="49" fontId="4" fillId="0" borderId="7" xfId="0" applyNumberFormat="1" applyFont="1" applyFill="1" applyBorder="1" applyAlignment="1">
      <alignment wrapText="1"/>
    </xf>
    <xf numFmtId="49" fontId="5" fillId="0" borderId="18" xfId="0" applyNumberFormat="1" applyFont="1" applyFill="1" applyBorder="1"/>
    <xf numFmtId="49" fontId="5" fillId="0" borderId="19" xfId="0" applyNumberFormat="1" applyFont="1" applyFill="1" applyBorder="1"/>
    <xf numFmtId="49" fontId="4" fillId="0" borderId="6" xfId="0" applyNumberFormat="1" applyFont="1" applyFill="1" applyBorder="1" applyAlignment="1">
      <alignment horizontal="center" wrapText="1"/>
    </xf>
    <xf numFmtId="49" fontId="4" fillId="0" borderId="5" xfId="0" applyNumberFormat="1" applyFont="1" applyFill="1" applyBorder="1"/>
    <xf numFmtId="2" fontId="4" fillId="0" borderId="5" xfId="0" applyNumberFormat="1" applyFont="1" applyFill="1" applyBorder="1"/>
    <xf numFmtId="49" fontId="5" fillId="0" borderId="5" xfId="0" applyNumberFormat="1" applyFont="1" applyFill="1" applyBorder="1"/>
    <xf numFmtId="164" fontId="5" fillId="0" borderId="5" xfId="2" applyNumberFormat="1" applyFont="1" applyFill="1" applyBorder="1" applyAlignment="1">
      <alignment horizontal="right"/>
    </xf>
    <xf numFmtId="164" fontId="4" fillId="0" borderId="5" xfId="2" applyNumberFormat="1" applyFont="1" applyFill="1" applyBorder="1" applyAlignment="1">
      <alignment horizontal="right"/>
    </xf>
    <xf numFmtId="164" fontId="0" fillId="0" borderId="0" xfId="0" applyNumberFormat="1" applyFill="1"/>
    <xf numFmtId="164" fontId="4" fillId="0" borderId="4" xfId="1" applyNumberFormat="1" applyFont="1" applyFill="1" applyBorder="1" applyAlignment="1">
      <alignment horizontal="center" wrapText="1"/>
    </xf>
    <xf numFmtId="164" fontId="4" fillId="0" borderId="4" xfId="2" applyNumberFormat="1" applyFont="1" applyFill="1" applyBorder="1" applyAlignment="1">
      <alignment horizontal="center" wrapText="1"/>
    </xf>
    <xf numFmtId="164" fontId="4" fillId="0" borderId="7" xfId="1" applyNumberFormat="1" applyFont="1" applyFill="1" applyBorder="1" applyAlignment="1">
      <alignment horizontal="center"/>
    </xf>
    <xf numFmtId="164" fontId="4" fillId="0" borderId="7" xfId="2" applyNumberFormat="1" applyFont="1" applyFill="1" applyBorder="1" applyAlignment="1">
      <alignment horizontal="center"/>
    </xf>
    <xf numFmtId="164" fontId="4" fillId="0" borderId="6" xfId="2" applyNumberFormat="1" applyFont="1" applyFill="1" applyBorder="1" applyAlignment="1">
      <alignment horizontal="center"/>
    </xf>
    <xf numFmtId="2" fontId="4" fillId="0" borderId="6" xfId="1" applyNumberFormat="1" applyFont="1" applyFill="1" applyBorder="1" applyAlignment="1">
      <alignment horizontal="center"/>
    </xf>
    <xf numFmtId="2" fontId="4" fillId="0" borderId="6" xfId="2" applyNumberFormat="1" applyFont="1" applyFill="1" applyBorder="1" applyAlignment="1">
      <alignment horizontal="center"/>
    </xf>
    <xf numFmtId="164" fontId="4" fillId="0" borderId="5" xfId="1" applyNumberFormat="1" applyFont="1" applyFill="1" applyBorder="1"/>
    <xf numFmtId="10" fontId="5" fillId="0" borderId="5" xfId="1" applyNumberFormat="1" applyFont="1" applyFill="1" applyBorder="1"/>
    <xf numFmtId="10" fontId="5" fillId="0" borderId="5" xfId="2" applyNumberFormat="1" applyFont="1" applyFill="1" applyBorder="1"/>
    <xf numFmtId="2" fontId="4" fillId="0" borderId="7" xfId="1" applyNumberFormat="1" applyFont="1" applyFill="1" applyBorder="1" applyAlignment="1">
      <alignment horizontal="center"/>
    </xf>
    <xf numFmtId="2" fontId="5" fillId="0" borderId="5" xfId="1" applyNumberFormat="1" applyFont="1" applyFill="1" applyBorder="1"/>
    <xf numFmtId="164" fontId="2" fillId="0" borderId="0" xfId="1" applyNumberFormat="1" applyFont="1" applyFill="1"/>
    <xf numFmtId="4" fontId="2" fillId="0" borderId="0" xfId="1" applyNumberFormat="1" applyFont="1" applyFill="1"/>
    <xf numFmtId="2" fontId="2" fillId="0" borderId="0" xfId="1" applyNumberFormat="1" applyFont="1" applyFill="1"/>
    <xf numFmtId="10" fontId="5" fillId="0" borderId="5" xfId="0" applyNumberFormat="1" applyFont="1" applyFill="1" applyBorder="1" applyAlignment="1">
      <alignment horizontal="right"/>
    </xf>
    <xf numFmtId="164" fontId="4" fillId="0" borderId="17" xfId="1" applyNumberFormat="1" applyFont="1" applyBorder="1"/>
    <xf numFmtId="49" fontId="5" fillId="6" borderId="2" xfId="0" applyNumberFormat="1" applyFont="1" applyFill="1" applyBorder="1"/>
    <xf numFmtId="49" fontId="5" fillId="6" borderId="17" xfId="0" applyNumberFormat="1" applyFont="1" applyFill="1" applyBorder="1"/>
    <xf numFmtId="49" fontId="4" fillId="6" borderId="20" xfId="0" applyNumberFormat="1" applyFont="1" applyFill="1" applyBorder="1" applyAlignment="1">
      <alignment horizontal="center" vertical="center"/>
    </xf>
    <xf numFmtId="49" fontId="4" fillId="6" borderId="20" xfId="0" applyNumberFormat="1" applyFont="1" applyFill="1" applyBorder="1" applyAlignment="1"/>
    <xf numFmtId="49" fontId="4" fillId="6" borderId="2" xfId="0" applyNumberFormat="1" applyFont="1" applyFill="1" applyBorder="1" applyAlignment="1"/>
    <xf numFmtId="49" fontId="4" fillId="6" borderId="17" xfId="0" applyNumberFormat="1" applyFont="1" applyFill="1" applyBorder="1" applyAlignment="1"/>
    <xf numFmtId="49" fontId="5" fillId="6" borderId="3" xfId="0" applyNumberFormat="1" applyFont="1" applyFill="1" applyBorder="1"/>
    <xf numFmtId="49" fontId="5" fillId="6" borderId="21" xfId="0" applyNumberFormat="1" applyFont="1" applyFill="1" applyBorder="1"/>
    <xf numFmtId="49" fontId="5" fillId="6" borderId="1" xfId="0" applyNumberFormat="1" applyFont="1" applyFill="1" applyBorder="1"/>
    <xf numFmtId="49" fontId="5" fillId="6" borderId="25" xfId="0" applyNumberFormat="1" applyFont="1" applyFill="1" applyBorder="1"/>
    <xf numFmtId="49" fontId="5" fillId="0" borderId="0" xfId="0" applyNumberFormat="1" applyFont="1" applyFill="1" applyBorder="1"/>
    <xf numFmtId="49" fontId="4" fillId="0" borderId="5" xfId="0" applyNumberFormat="1" applyFont="1" applyFill="1" applyBorder="1" applyAlignment="1">
      <alignment horizontal="center"/>
    </xf>
    <xf numFmtId="3" fontId="0" fillId="0" borderId="29" xfId="0" applyNumberFormat="1" applyFill="1" applyBorder="1"/>
    <xf numFmtId="3" fontId="0" fillId="0" borderId="6" xfId="0" applyNumberFormat="1" applyFill="1" applyBorder="1"/>
    <xf numFmtId="3" fontId="0" fillId="0" borderId="0" xfId="0" applyNumberFormat="1" applyFill="1" applyBorder="1"/>
    <xf numFmtId="164" fontId="0" fillId="0" borderId="17" xfId="1" applyNumberFormat="1" applyFont="1" applyFill="1" applyBorder="1"/>
    <xf numFmtId="0" fontId="0" fillId="0" borderId="0" xfId="0" applyFill="1" applyBorder="1"/>
    <xf numFmtId="164" fontId="8" fillId="0" borderId="17" xfId="1" applyNumberFormat="1" applyFont="1" applyFill="1" applyBorder="1"/>
    <xf numFmtId="164" fontId="3" fillId="0" borderId="5" xfId="1" applyNumberFormat="1" applyFont="1" applyFill="1" applyBorder="1"/>
    <xf numFmtId="164" fontId="3" fillId="0" borderId="29" xfId="1" applyNumberFormat="1" applyFont="1" applyFill="1" applyBorder="1"/>
    <xf numFmtId="4" fontId="0" fillId="0" borderId="5" xfId="0" applyNumberFormat="1" applyFill="1" applyBorder="1"/>
    <xf numFmtId="164" fontId="3" fillId="0" borderId="20" xfId="1" applyNumberFormat="1" applyFont="1" applyFill="1" applyBorder="1"/>
    <xf numFmtId="164" fontId="0" fillId="0" borderId="0" xfId="1" applyNumberFormat="1" applyFont="1" applyFill="1"/>
    <xf numFmtId="164" fontId="5" fillId="0" borderId="5" xfId="4" applyNumberFormat="1" applyFont="1" applyBorder="1"/>
    <xf numFmtId="164" fontId="5" fillId="0" borderId="5" xfId="1" applyNumberFormat="1" applyFont="1" applyFill="1" applyBorder="1" applyAlignment="1">
      <alignment horizontal="right"/>
    </xf>
    <xf numFmtId="164" fontId="0" fillId="0" borderId="0" xfId="1" applyNumberFormat="1" applyFont="1" applyFill="1" applyBorder="1"/>
    <xf numFmtId="164" fontId="4" fillId="0" borderId="5" xfId="1" applyNumberFormat="1" applyFont="1" applyBorder="1" applyAlignment="1">
      <alignment horizontal="center"/>
    </xf>
    <xf numFmtId="164" fontId="4" fillId="0" borderId="5" xfId="1" applyNumberFormat="1" applyFont="1" applyFill="1" applyBorder="1" applyAlignment="1">
      <alignment horizontal="center"/>
    </xf>
    <xf numFmtId="49" fontId="4" fillId="2" borderId="38" xfId="0" applyNumberFormat="1" applyFont="1" applyFill="1" applyBorder="1" applyAlignment="1">
      <alignment horizontal="center"/>
    </xf>
    <xf numFmtId="49" fontId="4" fillId="2" borderId="3" xfId="0" applyNumberFormat="1" applyFont="1" applyFill="1" applyBorder="1" applyAlignment="1">
      <alignment horizontal="center"/>
    </xf>
    <xf numFmtId="49" fontId="4" fillId="2" borderId="21" xfId="0" applyNumberFormat="1" applyFont="1" applyFill="1" applyBorder="1" applyAlignment="1">
      <alignment horizontal="center"/>
    </xf>
    <xf numFmtId="49" fontId="4" fillId="2" borderId="18" xfId="0" applyNumberFormat="1" applyFont="1" applyFill="1" applyBorder="1" applyAlignment="1">
      <alignment horizontal="center"/>
    </xf>
    <xf numFmtId="49" fontId="4" fillId="2" borderId="0" xfId="0" applyNumberFormat="1" applyFont="1" applyFill="1" applyBorder="1" applyAlignment="1">
      <alignment horizontal="center"/>
    </xf>
    <xf numFmtId="49" fontId="4" fillId="2" borderId="26" xfId="0" applyNumberFormat="1" applyFont="1" applyFill="1" applyBorder="1" applyAlignment="1">
      <alignment horizontal="center"/>
    </xf>
    <xf numFmtId="49" fontId="4" fillId="2" borderId="19"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25" xfId="0" applyNumberFormat="1" applyFont="1" applyFill="1" applyBorder="1" applyAlignment="1">
      <alignment horizontal="center"/>
    </xf>
    <xf numFmtId="0" fontId="4" fillId="2" borderId="18" xfId="0" applyNumberFormat="1" applyFont="1" applyFill="1" applyBorder="1" applyAlignment="1">
      <alignment horizontal="center"/>
    </xf>
    <xf numFmtId="0" fontId="4" fillId="2" borderId="0" xfId="0" applyNumberFormat="1" applyFont="1" applyFill="1" applyBorder="1" applyAlignment="1">
      <alignment horizontal="center"/>
    </xf>
    <xf numFmtId="0" fontId="4" fillId="2" borderId="26" xfId="0" applyNumberFormat="1" applyFont="1" applyFill="1" applyBorder="1" applyAlignment="1">
      <alignment horizontal="center"/>
    </xf>
    <xf numFmtId="164" fontId="4" fillId="0" borderId="2" xfId="1" applyNumberFormat="1" applyFont="1" applyBorder="1" applyAlignment="1">
      <alignment horizontal="center"/>
    </xf>
    <xf numFmtId="164" fontId="4" fillId="0" borderId="17" xfId="1" applyNumberFormat="1" applyFont="1" applyBorder="1" applyAlignment="1">
      <alignment horizontal="center"/>
    </xf>
    <xf numFmtId="164" fontId="4" fillId="0" borderId="20" xfId="1" applyNumberFormat="1" applyFont="1" applyFill="1" applyBorder="1" applyAlignment="1">
      <alignment horizontal="center"/>
    </xf>
    <xf numFmtId="164" fontId="4" fillId="0" borderId="17" xfId="1" applyNumberFormat="1" applyFont="1" applyFill="1" applyBorder="1" applyAlignment="1">
      <alignment horizontal="center"/>
    </xf>
    <xf numFmtId="2" fontId="4" fillId="0" borderId="4" xfId="1" applyNumberFormat="1" applyFont="1" applyFill="1" applyBorder="1" applyAlignment="1">
      <alignment horizontal="center" wrapText="1"/>
    </xf>
    <xf numFmtId="2" fontId="4" fillId="0" borderId="7" xfId="1" applyNumberFormat="1" applyFont="1" applyFill="1" applyBorder="1" applyAlignment="1">
      <alignment horizontal="center" wrapText="1"/>
    </xf>
    <xf numFmtId="2" fontId="4" fillId="0" borderId="4" xfId="1" applyNumberFormat="1" applyFont="1" applyBorder="1" applyAlignment="1">
      <alignment horizontal="center" wrapText="1"/>
    </xf>
    <xf numFmtId="2" fontId="4" fillId="0" borderId="7" xfId="1" applyNumberFormat="1" applyFont="1" applyBorder="1" applyAlignment="1">
      <alignment horizontal="center" wrapText="1"/>
    </xf>
    <xf numFmtId="2" fontId="4" fillId="0" borderId="20" xfId="1" applyNumberFormat="1" applyFont="1" applyBorder="1" applyAlignment="1">
      <alignment horizontal="center"/>
    </xf>
    <xf numFmtId="2" fontId="4" fillId="0" borderId="17" xfId="1" applyNumberFormat="1" applyFont="1" applyBorder="1" applyAlignment="1">
      <alignment horizontal="center"/>
    </xf>
    <xf numFmtId="2" fontId="4" fillId="0" borderId="20" xfId="1" applyNumberFormat="1" applyFont="1" applyFill="1" applyBorder="1" applyAlignment="1">
      <alignment horizontal="center"/>
    </xf>
    <xf numFmtId="2" fontId="4" fillId="0" borderId="17" xfId="1" applyNumberFormat="1" applyFont="1" applyFill="1" applyBorder="1" applyAlignment="1">
      <alignment horizontal="center"/>
    </xf>
    <xf numFmtId="49" fontId="4" fillId="3" borderId="20" xfId="0" applyNumberFormat="1" applyFont="1" applyFill="1" applyBorder="1" applyAlignment="1">
      <alignment horizontal="center"/>
    </xf>
    <xf numFmtId="49" fontId="4" fillId="3" borderId="2" xfId="0" applyNumberFormat="1" applyFont="1" applyFill="1" applyBorder="1" applyAlignment="1">
      <alignment horizontal="center"/>
    </xf>
    <xf numFmtId="49" fontId="4" fillId="3" borderId="17" xfId="0" applyNumberFormat="1" applyFont="1" applyFill="1" applyBorder="1" applyAlignment="1">
      <alignment horizontal="center"/>
    </xf>
    <xf numFmtId="49" fontId="4" fillId="4" borderId="20" xfId="0" applyNumberFormat="1" applyFont="1" applyFill="1" applyBorder="1" applyAlignment="1">
      <alignment horizontal="center"/>
    </xf>
    <xf numFmtId="49" fontId="4" fillId="4" borderId="2" xfId="0" applyNumberFormat="1" applyFont="1" applyFill="1" applyBorder="1" applyAlignment="1">
      <alignment horizontal="center"/>
    </xf>
    <xf numFmtId="49" fontId="4" fillId="4" borderId="17" xfId="0" applyNumberFormat="1" applyFont="1" applyFill="1" applyBorder="1" applyAlignment="1">
      <alignment horizontal="center"/>
    </xf>
    <xf numFmtId="49" fontId="4" fillId="6" borderId="4"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xf>
    <xf numFmtId="49" fontId="4" fillId="5" borderId="18" xfId="0" applyNumberFormat="1" applyFont="1" applyFill="1" applyBorder="1" applyAlignment="1">
      <alignment horizontal="center"/>
    </xf>
    <xf numFmtId="49" fontId="4" fillId="5" borderId="0" xfId="0" applyNumberFormat="1" applyFont="1" applyFill="1" applyBorder="1" applyAlignment="1">
      <alignment horizontal="center"/>
    </xf>
    <xf numFmtId="49" fontId="4" fillId="5" borderId="26" xfId="0" applyNumberFormat="1" applyFont="1" applyFill="1" applyBorder="1" applyAlignment="1">
      <alignment horizontal="center"/>
    </xf>
    <xf numFmtId="49" fontId="4" fillId="5" borderId="38" xfId="0" applyNumberFormat="1" applyFont="1" applyFill="1" applyBorder="1" applyAlignment="1">
      <alignment horizontal="center"/>
    </xf>
    <xf numFmtId="49" fontId="4" fillId="5" borderId="3" xfId="0" applyNumberFormat="1" applyFont="1" applyFill="1" applyBorder="1" applyAlignment="1">
      <alignment horizontal="center"/>
    </xf>
    <xf numFmtId="49" fontId="4" fillId="5" borderId="21" xfId="0" applyNumberFormat="1" applyFont="1" applyFill="1" applyBorder="1" applyAlignment="1">
      <alignment horizontal="center"/>
    </xf>
    <xf numFmtId="49" fontId="4" fillId="0" borderId="18" xfId="0" applyNumberFormat="1" applyFont="1" applyFill="1" applyBorder="1" applyAlignment="1">
      <alignment horizontal="center"/>
    </xf>
    <xf numFmtId="49" fontId="4" fillId="0" borderId="0" xfId="0" applyNumberFormat="1" applyFont="1" applyFill="1" applyBorder="1" applyAlignment="1">
      <alignment horizontal="center"/>
    </xf>
    <xf numFmtId="49" fontId="4" fillId="0" borderId="26" xfId="0" applyNumberFormat="1" applyFont="1" applyFill="1" applyBorder="1" applyAlignment="1">
      <alignment horizontal="center"/>
    </xf>
    <xf numFmtId="49" fontId="4" fillId="6" borderId="20" xfId="0" applyNumberFormat="1" applyFont="1" applyFill="1" applyBorder="1" applyAlignment="1">
      <alignment horizontal="left"/>
    </xf>
    <xf numFmtId="49" fontId="4" fillId="6" borderId="2" xfId="0" applyNumberFormat="1" applyFont="1" applyFill="1" applyBorder="1" applyAlignment="1">
      <alignment horizontal="left"/>
    </xf>
    <xf numFmtId="49" fontId="4" fillId="6" borderId="17" xfId="0" applyNumberFormat="1" applyFont="1" applyFill="1" applyBorder="1" applyAlignment="1">
      <alignment horizontal="left"/>
    </xf>
    <xf numFmtId="49" fontId="4" fillId="6" borderId="19" xfId="0" applyNumberFormat="1" applyFont="1" applyFill="1" applyBorder="1" applyAlignment="1">
      <alignment horizontal="left"/>
    </xf>
    <xf numFmtId="49" fontId="4" fillId="6" borderId="1" xfId="0" applyNumberFormat="1" applyFont="1" applyFill="1" applyBorder="1" applyAlignment="1">
      <alignment horizontal="left"/>
    </xf>
    <xf numFmtId="49" fontId="4" fillId="6" borderId="25" xfId="0" applyNumberFormat="1" applyFont="1" applyFill="1" applyBorder="1" applyAlignment="1">
      <alignment horizontal="left"/>
    </xf>
    <xf numFmtId="49" fontId="4" fillId="0" borderId="19" xfId="0" applyNumberFormat="1" applyFont="1" applyFill="1" applyBorder="1" applyAlignment="1">
      <alignment horizontal="center"/>
    </xf>
    <xf numFmtId="49" fontId="4" fillId="0" borderId="1" xfId="0" applyNumberFormat="1" applyFont="1" applyFill="1" applyBorder="1" applyAlignment="1">
      <alignment horizontal="center"/>
    </xf>
    <xf numFmtId="49" fontId="4" fillId="0" borderId="25" xfId="0" applyNumberFormat="1" applyFont="1" applyFill="1" applyBorder="1" applyAlignment="1">
      <alignment horizontal="center"/>
    </xf>
    <xf numFmtId="49" fontId="4" fillId="0" borderId="5" xfId="0" applyNumberFormat="1" applyFont="1" applyFill="1" applyBorder="1" applyAlignment="1">
      <alignment horizontal="center"/>
    </xf>
    <xf numFmtId="49" fontId="4" fillId="0" borderId="38" xfId="0" applyNumberFormat="1" applyFont="1" applyFill="1" applyBorder="1" applyAlignment="1">
      <alignment horizontal="center"/>
    </xf>
    <xf numFmtId="49" fontId="4" fillId="0" borderId="3" xfId="0" applyNumberFormat="1" applyFont="1" applyFill="1" applyBorder="1" applyAlignment="1">
      <alignment horizontal="center"/>
    </xf>
    <xf numFmtId="49" fontId="4" fillId="0" borderId="21" xfId="0" applyNumberFormat="1" applyFont="1" applyFill="1" applyBorder="1" applyAlignment="1">
      <alignment horizontal="center"/>
    </xf>
    <xf numFmtId="0" fontId="7" fillId="0" borderId="0" xfId="0" applyFont="1" applyAlignment="1">
      <alignment horizontal="left" wrapText="1"/>
    </xf>
    <xf numFmtId="0" fontId="7" fillId="0" borderId="0" xfId="0" applyFont="1" applyAlignment="1">
      <alignment horizontal="left" vertical="top" wrapText="1"/>
    </xf>
    <xf numFmtId="0" fontId="7" fillId="0" borderId="0" xfId="0" applyFont="1" applyAlignment="1">
      <alignment horizontal="left" vertical="top"/>
    </xf>
    <xf numFmtId="49" fontId="4" fillId="0" borderId="0" xfId="0" applyNumberFormat="1" applyFont="1" applyAlignment="1">
      <alignment horizontal="left"/>
    </xf>
    <xf numFmtId="0" fontId="7" fillId="0" borderId="0" xfId="0" applyFont="1" applyAlignment="1">
      <alignment horizontal="left"/>
    </xf>
    <xf numFmtId="49" fontId="4" fillId="2" borderId="0" xfId="0" applyNumberFormat="1" applyFont="1" applyFill="1" applyAlignment="1">
      <alignment horizontal="center"/>
    </xf>
    <xf numFmtId="49" fontId="4" fillId="0" borderId="5" xfId="0" applyNumberFormat="1" applyFont="1" applyBorder="1" applyAlignment="1">
      <alignment horizontal="center"/>
    </xf>
    <xf numFmtId="49" fontId="4" fillId="0" borderId="4" xfId="0" applyNumberFormat="1" applyFont="1" applyBorder="1" applyAlignment="1">
      <alignment horizontal="left" vertical="top"/>
    </xf>
    <xf numFmtId="49" fontId="5" fillId="0" borderId="6" xfId="0" applyNumberFormat="1" applyFont="1" applyBorder="1" applyAlignment="1">
      <alignment horizontal="left" vertical="top"/>
    </xf>
    <xf numFmtId="0" fontId="0" fillId="0" borderId="5" xfId="0" applyBorder="1" applyAlignment="1"/>
    <xf numFmtId="0" fontId="0" fillId="0" borderId="15" xfId="0" applyBorder="1" applyAlignment="1">
      <alignment horizontal="left"/>
    </xf>
    <xf numFmtId="0" fontId="0" fillId="0" borderId="5" xfId="0" applyBorder="1" applyAlignment="1">
      <alignment horizontal="left"/>
    </xf>
    <xf numFmtId="0" fontId="0" fillId="0" borderId="31"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3" fillId="0" borderId="0" xfId="0" applyFont="1" applyAlignment="1">
      <alignment horizontal="left"/>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pplyFill="1" applyAlignment="1"/>
    <xf numFmtId="0" fontId="0" fillId="0" borderId="15" xfId="0" applyBorder="1" applyAlignment="1">
      <alignment horizontal="center" vertical="center"/>
    </xf>
    <xf numFmtId="0" fontId="0" fillId="0" borderId="42" xfId="0" applyBorder="1" applyAlignment="1">
      <alignment horizontal="center" vertical="center"/>
    </xf>
    <xf numFmtId="0" fontId="0" fillId="0" borderId="15" xfId="0" applyFill="1" applyBorder="1" applyAlignment="1">
      <alignment horizontal="left"/>
    </xf>
    <xf numFmtId="0" fontId="0" fillId="0" borderId="5" xfId="0" applyFill="1" applyBorder="1" applyAlignment="1">
      <alignment horizontal="left"/>
    </xf>
    <xf numFmtId="0" fontId="3" fillId="0" borderId="15" xfId="0" applyFont="1" applyBorder="1" applyAlignment="1">
      <alignment horizontal="left"/>
    </xf>
    <xf numFmtId="0" fontId="3" fillId="0" borderId="5" xfId="0" applyFont="1" applyBorder="1" applyAlignment="1">
      <alignment horizontal="left"/>
    </xf>
    <xf numFmtId="0" fontId="3" fillId="0" borderId="42" xfId="0" applyFont="1" applyBorder="1" applyAlignment="1">
      <alignment horizontal="left"/>
    </xf>
    <xf numFmtId="0" fontId="3" fillId="0" borderId="29" xfId="0" applyFont="1" applyBorder="1" applyAlignment="1">
      <alignment horizontal="left"/>
    </xf>
    <xf numFmtId="0" fontId="0" fillId="0" borderId="43" xfId="0" applyBorder="1" applyAlignment="1">
      <alignment horizontal="left"/>
    </xf>
    <xf numFmtId="0" fontId="0" fillId="0" borderId="17" xfId="0" applyBorder="1" applyAlignment="1">
      <alignment horizontal="left"/>
    </xf>
    <xf numFmtId="0" fontId="3" fillId="2" borderId="15" xfId="0" applyFont="1" applyFill="1" applyBorder="1" applyAlignment="1">
      <alignment horizontal="left"/>
    </xf>
    <xf numFmtId="0" fontId="3" fillId="2" borderId="5" xfId="0" applyFont="1" applyFill="1" applyBorder="1" applyAlignment="1">
      <alignment horizontal="left"/>
    </xf>
  </cellXfs>
  <cellStyles count="5">
    <cellStyle name="Comma" xfId="1" builtinId="3"/>
    <cellStyle name="Comma 2" xfId="2"/>
    <cellStyle name="Comma 3" xf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1"/>
  <sheetViews>
    <sheetView tabSelected="1" workbookViewId="0">
      <selection activeCell="D10" sqref="D10"/>
    </sheetView>
  </sheetViews>
  <sheetFormatPr defaultRowHeight="15" x14ac:dyDescent="0.25"/>
  <cols>
    <col min="1" max="1" width="9.140625" style="1" customWidth="1"/>
    <col min="2" max="2" width="42.42578125" style="1" bestFit="1" customWidth="1"/>
    <col min="3" max="3" width="16.140625" style="8" bestFit="1" customWidth="1"/>
    <col min="4" max="4" width="17.28515625" style="8" bestFit="1" customWidth="1"/>
    <col min="5" max="5" width="16.140625" style="243" bestFit="1" customWidth="1"/>
    <col min="6" max="6" width="17.28515625" style="8" bestFit="1" customWidth="1"/>
    <col min="7" max="16384" width="9.140625" style="1"/>
  </cols>
  <sheetData>
    <row r="1" spans="2:6" ht="15.75" x14ac:dyDescent="0.25">
      <c r="B1" s="276" t="s">
        <v>39</v>
      </c>
      <c r="C1" s="277"/>
      <c r="D1" s="277"/>
      <c r="E1" s="277"/>
      <c r="F1" s="278"/>
    </row>
    <row r="2" spans="2:6" ht="15.75" x14ac:dyDescent="0.25">
      <c r="B2" s="279" t="s">
        <v>0</v>
      </c>
      <c r="C2" s="280"/>
      <c r="D2" s="280"/>
      <c r="E2" s="280"/>
      <c r="F2" s="281"/>
    </row>
    <row r="3" spans="2:6" ht="15.75" x14ac:dyDescent="0.25">
      <c r="B3" s="285" t="s">
        <v>333</v>
      </c>
      <c r="C3" s="286"/>
      <c r="D3" s="286"/>
      <c r="E3" s="286"/>
      <c r="F3" s="287"/>
    </row>
    <row r="4" spans="2:6" ht="15.75" x14ac:dyDescent="0.25">
      <c r="B4" s="282"/>
      <c r="C4" s="283"/>
      <c r="D4" s="283"/>
      <c r="E4" s="283"/>
      <c r="F4" s="284"/>
    </row>
    <row r="5" spans="2:6" ht="15.75" x14ac:dyDescent="0.25">
      <c r="B5" s="55"/>
      <c r="C5" s="274" t="s">
        <v>34</v>
      </c>
      <c r="D5" s="274"/>
      <c r="E5" s="275" t="s">
        <v>45</v>
      </c>
      <c r="F5" s="275"/>
    </row>
    <row r="6" spans="2:6" ht="15.75" x14ac:dyDescent="0.25">
      <c r="B6" s="56" t="s">
        <v>1</v>
      </c>
      <c r="C6" s="114" t="s">
        <v>239</v>
      </c>
      <c r="D6" s="202" t="s">
        <v>312</v>
      </c>
      <c r="E6" s="231" t="s">
        <v>239</v>
      </c>
      <c r="F6" s="232" t="s">
        <v>312</v>
      </c>
    </row>
    <row r="7" spans="2:6" ht="15.75" x14ac:dyDescent="0.25">
      <c r="B7" s="56"/>
      <c r="C7" s="115" t="s">
        <v>36</v>
      </c>
      <c r="D7" s="203" t="s">
        <v>36</v>
      </c>
      <c r="E7" s="233" t="s">
        <v>36</v>
      </c>
      <c r="F7" s="234" t="s">
        <v>36</v>
      </c>
    </row>
    <row r="8" spans="2:6" ht="15.75" x14ac:dyDescent="0.25">
      <c r="B8" s="54"/>
      <c r="C8" s="115" t="s">
        <v>329</v>
      </c>
      <c r="D8" s="203" t="s">
        <v>317</v>
      </c>
      <c r="E8" s="233" t="s">
        <v>329</v>
      </c>
      <c r="F8" s="234" t="s">
        <v>317</v>
      </c>
    </row>
    <row r="9" spans="2:6" ht="15.75" x14ac:dyDescent="0.25">
      <c r="B9" s="54"/>
      <c r="C9" s="115" t="s">
        <v>37</v>
      </c>
      <c r="D9" s="203" t="s">
        <v>37</v>
      </c>
      <c r="E9" s="233" t="s">
        <v>37</v>
      </c>
      <c r="F9" s="234" t="s">
        <v>37</v>
      </c>
    </row>
    <row r="10" spans="2:6" ht="15.75" x14ac:dyDescent="0.25">
      <c r="B10" s="54"/>
      <c r="C10" s="73" t="s">
        <v>337</v>
      </c>
      <c r="D10" s="73" t="s">
        <v>338</v>
      </c>
      <c r="E10" s="214" t="s">
        <v>337</v>
      </c>
      <c r="F10" s="214" t="s">
        <v>338</v>
      </c>
    </row>
    <row r="11" spans="2:6" ht="15.75" x14ac:dyDescent="0.25">
      <c r="B11" s="54"/>
      <c r="C11" s="116" t="s">
        <v>181</v>
      </c>
      <c r="D11" s="204" t="s">
        <v>181</v>
      </c>
      <c r="E11" s="235" t="s">
        <v>182</v>
      </c>
      <c r="F11" s="235" t="s">
        <v>182</v>
      </c>
    </row>
    <row r="12" spans="2:6" ht="15.75" x14ac:dyDescent="0.25">
      <c r="B12" s="161"/>
      <c r="C12" s="118"/>
      <c r="D12" s="205"/>
      <c r="E12" s="236"/>
      <c r="F12" s="237"/>
    </row>
    <row r="13" spans="2:6" ht="15.75" x14ac:dyDescent="0.25">
      <c r="B13" s="27" t="s">
        <v>2</v>
      </c>
      <c r="C13" s="29">
        <v>792809.71487200004</v>
      </c>
      <c r="D13" s="154">
        <v>1079137</v>
      </c>
      <c r="E13" s="151">
        <f>85323424357.598/1000</f>
        <v>85323424.357598007</v>
      </c>
      <c r="F13" s="178">
        <v>88329722.047800004</v>
      </c>
    </row>
    <row r="14" spans="2:6" ht="15.75" x14ac:dyDescent="0.25">
      <c r="B14" s="27" t="s">
        <v>3</v>
      </c>
      <c r="C14" s="29">
        <v>272341.01537600002</v>
      </c>
      <c r="D14" s="154">
        <v>390490</v>
      </c>
      <c r="E14" s="151">
        <f>61159309271.555/1000</f>
        <v>61159309.271554999</v>
      </c>
      <c r="F14" s="178">
        <v>62879703.024920002</v>
      </c>
    </row>
    <row r="15" spans="2:6" s="9" customFormat="1" ht="15.75" x14ac:dyDescent="0.25">
      <c r="B15" s="26" t="s">
        <v>4</v>
      </c>
      <c r="C15" s="30">
        <f>+C13-C14</f>
        <v>520468.69949600002</v>
      </c>
      <c r="D15" s="169">
        <f>+D13-D14</f>
        <v>688647</v>
      </c>
      <c r="E15" s="238">
        <f>+E13-E14</f>
        <v>24164115.086043008</v>
      </c>
      <c r="F15" s="201">
        <v>25450019.022880003</v>
      </c>
    </row>
    <row r="16" spans="2:6" ht="15.75" x14ac:dyDescent="0.25">
      <c r="B16" s="27" t="s">
        <v>5</v>
      </c>
      <c r="C16" s="29">
        <v>52572.312994000007</v>
      </c>
      <c r="D16" s="154">
        <f>35160-12904</f>
        <v>22256</v>
      </c>
      <c r="E16" s="151">
        <f>4412034061.95437/1000</f>
        <v>4412034.0619543698</v>
      </c>
      <c r="F16" s="178">
        <v>4273870.9790399997</v>
      </c>
    </row>
    <row r="17" spans="2:14" ht="15.75" x14ac:dyDescent="0.25">
      <c r="B17" s="27" t="s">
        <v>6</v>
      </c>
      <c r="C17" s="29">
        <v>0</v>
      </c>
      <c r="D17" s="154">
        <v>0</v>
      </c>
      <c r="E17" s="151">
        <v>0</v>
      </c>
      <c r="F17" s="178">
        <v>0</v>
      </c>
    </row>
    <row r="18" spans="2:14" s="9" customFormat="1" ht="15.75" x14ac:dyDescent="0.25">
      <c r="B18" s="26" t="s">
        <v>7</v>
      </c>
      <c r="C18" s="30">
        <f>+C16-C17</f>
        <v>52572.312994000007</v>
      </c>
      <c r="D18" s="169">
        <f>+D16-D17</f>
        <v>22256</v>
      </c>
      <c r="E18" s="238">
        <f>+E16-E17</f>
        <v>4412034.0619543698</v>
      </c>
      <c r="F18" s="201">
        <v>4273870.9790399997</v>
      </c>
    </row>
    <row r="19" spans="2:14" ht="15.75" x14ac:dyDescent="0.25">
      <c r="B19" s="27" t="s">
        <v>8</v>
      </c>
      <c r="C19" s="29">
        <v>7944.3826404999982</v>
      </c>
      <c r="D19" s="178">
        <v>5702</v>
      </c>
      <c r="E19" s="151">
        <f>240786241.156924/1000</f>
        <v>240786.24115692402</v>
      </c>
      <c r="F19" s="178">
        <v>211882.26700999998</v>
      </c>
    </row>
    <row r="20" spans="2:14" ht="15.75" x14ac:dyDescent="0.25">
      <c r="B20" s="27" t="s">
        <v>9</v>
      </c>
      <c r="C20" s="29">
        <v>0</v>
      </c>
      <c r="D20" s="154">
        <v>0</v>
      </c>
      <c r="E20" s="151">
        <v>0</v>
      </c>
      <c r="F20" s="178">
        <v>0</v>
      </c>
    </row>
    <row r="21" spans="2:14" ht="15.75" x14ac:dyDescent="0.25">
      <c r="B21" s="27" t="s">
        <v>10</v>
      </c>
      <c r="C21" s="29">
        <v>0</v>
      </c>
      <c r="D21" s="154">
        <v>0</v>
      </c>
      <c r="E21" s="151">
        <v>0</v>
      </c>
      <c r="F21" s="178">
        <v>0</v>
      </c>
    </row>
    <row r="22" spans="2:14" ht="15.75" x14ac:dyDescent="0.25">
      <c r="B22" s="27" t="s">
        <v>64</v>
      </c>
      <c r="C22" s="29">
        <v>0</v>
      </c>
      <c r="D22" s="154">
        <v>0</v>
      </c>
      <c r="E22" s="151">
        <v>0</v>
      </c>
      <c r="F22" s="178">
        <v>0</v>
      </c>
    </row>
    <row r="23" spans="2:14" ht="15.75" x14ac:dyDescent="0.25">
      <c r="B23" s="27" t="s">
        <v>9</v>
      </c>
      <c r="C23" s="29">
        <v>0</v>
      </c>
      <c r="D23" s="154">
        <v>0</v>
      </c>
      <c r="E23" s="151">
        <v>0</v>
      </c>
      <c r="F23" s="178">
        <v>0</v>
      </c>
    </row>
    <row r="24" spans="2:14" ht="15.75" x14ac:dyDescent="0.25">
      <c r="B24" s="27" t="s">
        <v>11</v>
      </c>
      <c r="C24" s="29">
        <v>0</v>
      </c>
      <c r="D24" s="154">
        <v>0</v>
      </c>
      <c r="E24" s="151">
        <v>0</v>
      </c>
      <c r="F24" s="178">
        <v>0</v>
      </c>
      <c r="N24" s="71"/>
    </row>
    <row r="25" spans="2:14" ht="15.75" x14ac:dyDescent="0.25">
      <c r="B25" s="27" t="s">
        <v>234</v>
      </c>
      <c r="C25" s="29">
        <v>1770.7715000000001</v>
      </c>
      <c r="D25" s="154">
        <f>1075+12904</f>
        <v>13979</v>
      </c>
      <c r="E25" s="151">
        <f>16774422224.163/1000</f>
        <v>16774422.224163</v>
      </c>
      <c r="F25" s="178">
        <v>15032973.557049999</v>
      </c>
    </row>
    <row r="26" spans="2:14" s="9" customFormat="1" ht="15.75" x14ac:dyDescent="0.25">
      <c r="B26" s="26" t="s">
        <v>12</v>
      </c>
      <c r="C26" s="30">
        <f>+C15+C18+C19+C20+C21+C22+C23+C24+C25</f>
        <v>582756.1666305</v>
      </c>
      <c r="D26" s="169">
        <f>+D15+D18+D19+D20+D21+D22+D23+D24+D25</f>
        <v>730584</v>
      </c>
      <c r="E26" s="238">
        <f>+E15+E18+E19+E20+E21+E22+E23+E24+E25</f>
        <v>45591357.613317303</v>
      </c>
      <c r="F26" s="201">
        <v>44968745.82598</v>
      </c>
    </row>
    <row r="27" spans="2:14" ht="15.75" x14ac:dyDescent="0.25">
      <c r="B27" s="27" t="s">
        <v>13</v>
      </c>
      <c r="C27" s="29">
        <f>SUM(C28:C30)</f>
        <v>16901.512597500001</v>
      </c>
      <c r="D27" s="154">
        <f>SUM(D28:D30)</f>
        <v>-982</v>
      </c>
      <c r="E27" s="151">
        <f>SUM(E28:E30)</f>
        <v>44172100.1990119</v>
      </c>
      <c r="F27" s="178">
        <v>38459809.501660004</v>
      </c>
    </row>
    <row r="28" spans="2:14" ht="15.75" x14ac:dyDescent="0.25">
      <c r="B28" s="27" t="s">
        <v>14</v>
      </c>
      <c r="C28" s="29">
        <v>0</v>
      </c>
      <c r="D28" s="154"/>
      <c r="E28" s="151">
        <v>0</v>
      </c>
      <c r="F28" s="178">
        <v>0</v>
      </c>
    </row>
    <row r="29" spans="2:14" ht="15.75" x14ac:dyDescent="0.25">
      <c r="B29" s="27" t="s">
        <v>15</v>
      </c>
      <c r="C29" s="29">
        <v>0</v>
      </c>
      <c r="D29" s="154">
        <v>0</v>
      </c>
      <c r="E29" s="151">
        <v>0</v>
      </c>
      <c r="F29" s="178">
        <v>0</v>
      </c>
    </row>
    <row r="30" spans="2:14" ht="15.75" x14ac:dyDescent="0.25">
      <c r="B30" s="27" t="s">
        <v>16</v>
      </c>
      <c r="C30" s="29">
        <v>16901.512597500001</v>
      </c>
      <c r="D30" s="154">
        <v>-982</v>
      </c>
      <c r="E30" s="151">
        <f>44172100199.0119/1000</f>
        <v>44172100.1990119</v>
      </c>
      <c r="F30" s="178">
        <v>38459809.501660004</v>
      </c>
    </row>
    <row r="31" spans="2:14" s="9" customFormat="1" ht="15.75" x14ac:dyDescent="0.25">
      <c r="B31" s="26" t="s">
        <v>17</v>
      </c>
      <c r="C31" s="30">
        <f>+C26-C27</f>
        <v>565854.654033</v>
      </c>
      <c r="D31" s="169">
        <f>+D26-D27</f>
        <v>731566</v>
      </c>
      <c r="E31" s="238">
        <f>+E26-E27</f>
        <v>1419257.4143054038</v>
      </c>
      <c r="F31" s="201">
        <v>6508936.3243199959</v>
      </c>
    </row>
    <row r="32" spans="2:14" ht="15.75" x14ac:dyDescent="0.25">
      <c r="B32" s="27" t="s">
        <v>18</v>
      </c>
      <c r="C32" s="151">
        <v>22862.018709999997</v>
      </c>
      <c r="D32" s="178">
        <f>56204+2500</f>
        <v>58704</v>
      </c>
      <c r="E32" s="151">
        <f>+(12892061583.2312+1723932.414363)/1000</f>
        <v>12893785.515645564</v>
      </c>
      <c r="F32" s="178">
        <v>15003738.739709999</v>
      </c>
    </row>
    <row r="33" spans="2:6" ht="15.75" x14ac:dyDescent="0.25">
      <c r="B33" s="27" t="s">
        <v>19</v>
      </c>
      <c r="C33" s="151">
        <v>962.50000999999997</v>
      </c>
      <c r="D33" s="178">
        <v>3709</v>
      </c>
      <c r="E33" s="151">
        <f>5050619342.66151/1000</f>
        <v>5050619.3426615102</v>
      </c>
      <c r="F33" s="178">
        <v>4906165.7639799993</v>
      </c>
    </row>
    <row r="34" spans="2:6" ht="15.75" x14ac:dyDescent="0.25">
      <c r="B34" s="27" t="s">
        <v>20</v>
      </c>
      <c r="C34" s="151">
        <f>53657.19122-C32-C33</f>
        <v>29832.672500000004</v>
      </c>
      <c r="D34" s="178">
        <f>38225+150+7009</f>
        <v>45384</v>
      </c>
      <c r="E34" s="151">
        <f>3284688884.71867/1000</f>
        <v>3284688.88471867</v>
      </c>
      <c r="F34" s="178">
        <v>6907227.4918</v>
      </c>
    </row>
    <row r="35" spans="2:6" s="9" customFormat="1" ht="15.75" x14ac:dyDescent="0.25">
      <c r="B35" s="26" t="s">
        <v>21</v>
      </c>
      <c r="C35" s="30">
        <f>+C31-C32-C33-C34</f>
        <v>512197.46281300008</v>
      </c>
      <c r="D35" s="169">
        <f>+D31-D32-D33-D34</f>
        <v>623769</v>
      </c>
      <c r="E35" s="238">
        <f>+E31-E32-E33-E34</f>
        <v>-19809836.328720342</v>
      </c>
      <c r="F35" s="201">
        <v>-20308195.671170004</v>
      </c>
    </row>
    <row r="36" spans="2:6" s="9" customFormat="1" ht="15.75" x14ac:dyDescent="0.25">
      <c r="B36" s="26" t="s">
        <v>22</v>
      </c>
      <c r="C36" s="30"/>
      <c r="D36" s="169"/>
      <c r="E36" s="238"/>
      <c r="F36" s="201"/>
    </row>
    <row r="37" spans="2:6" ht="15.75" x14ac:dyDescent="0.25">
      <c r="B37" s="27" t="s">
        <v>25</v>
      </c>
      <c r="C37" s="29">
        <v>75905.528000000006</v>
      </c>
      <c r="D37" s="154">
        <v>101094</v>
      </c>
      <c r="E37" s="151">
        <v>0</v>
      </c>
      <c r="F37" s="178">
        <v>0</v>
      </c>
    </row>
    <row r="38" spans="2:6" s="9" customFormat="1" ht="15.75" x14ac:dyDescent="0.25">
      <c r="B38" s="26" t="s">
        <v>26</v>
      </c>
      <c r="C38" s="30">
        <f>+C35-C37</f>
        <v>436291.93481300009</v>
      </c>
      <c r="D38" s="169">
        <f>+D35-D37</f>
        <v>522675</v>
      </c>
      <c r="E38" s="238">
        <f>+E35-E37</f>
        <v>-19809836.328720342</v>
      </c>
      <c r="F38" s="201">
        <v>-20308195.671170004</v>
      </c>
    </row>
    <row r="39" spans="2:6" s="9" customFormat="1" ht="15.75" x14ac:dyDescent="0.25">
      <c r="B39" s="26" t="s">
        <v>22</v>
      </c>
      <c r="C39" s="30"/>
      <c r="D39" s="169"/>
      <c r="E39" s="238"/>
      <c r="F39" s="201"/>
    </row>
    <row r="40" spans="2:6" ht="15.75" x14ac:dyDescent="0.25">
      <c r="B40" s="27" t="s">
        <v>23</v>
      </c>
      <c r="C40" s="29">
        <v>0</v>
      </c>
      <c r="D40" s="154">
        <v>0</v>
      </c>
      <c r="E40" s="272">
        <v>0</v>
      </c>
      <c r="F40" s="228">
        <v>0</v>
      </c>
    </row>
    <row r="41" spans="2:6" ht="15.75" x14ac:dyDescent="0.25">
      <c r="B41" s="27" t="s">
        <v>24</v>
      </c>
      <c r="C41" s="29">
        <v>0</v>
      </c>
      <c r="D41" s="154">
        <v>0</v>
      </c>
      <c r="E41" s="272">
        <v>0</v>
      </c>
      <c r="F41" s="228">
        <v>0</v>
      </c>
    </row>
    <row r="42" spans="2:6" s="9" customFormat="1" ht="15.75" x14ac:dyDescent="0.25">
      <c r="B42" s="26" t="s">
        <v>27</v>
      </c>
      <c r="C42" s="30">
        <f>+C38+C40</f>
        <v>436291.93481300009</v>
      </c>
      <c r="D42" s="169">
        <f>+D38+D40</f>
        <v>522675</v>
      </c>
      <c r="E42" s="238">
        <f>+E38+E40</f>
        <v>-19809836.328720342</v>
      </c>
      <c r="F42" s="201">
        <v>-20308195.671170004</v>
      </c>
    </row>
    <row r="43" spans="2:6" ht="15.75" x14ac:dyDescent="0.25">
      <c r="B43" s="27" t="s">
        <v>28</v>
      </c>
      <c r="C43" s="29">
        <v>115595.607</v>
      </c>
      <c r="D43" s="154">
        <v>75154</v>
      </c>
      <c r="E43" s="151">
        <f>-5742797744.5245/1000</f>
        <v>-5742797.7445245003</v>
      </c>
      <c r="F43" s="178">
        <v>3092291.4928899999</v>
      </c>
    </row>
    <row r="44" spans="2:6" s="9" customFormat="1" ht="15.75" x14ac:dyDescent="0.25">
      <c r="B44" s="26" t="s">
        <v>29</v>
      </c>
      <c r="C44" s="30">
        <f>+C42-C43</f>
        <v>320696.32781300007</v>
      </c>
      <c r="D44" s="169">
        <f>+D42-D43</f>
        <v>447521</v>
      </c>
      <c r="E44" s="201">
        <f>+E42-E43</f>
        <v>-14067038.584195841</v>
      </c>
      <c r="F44" s="201">
        <v>-17215904.178280003</v>
      </c>
    </row>
    <row r="45" spans="2:6" s="9" customFormat="1" ht="15.75" x14ac:dyDescent="0.25">
      <c r="B45" s="26" t="s">
        <v>30</v>
      </c>
      <c r="C45" s="30"/>
      <c r="D45" s="169"/>
      <c r="E45" s="238"/>
      <c r="F45" s="201"/>
    </row>
    <row r="46" spans="2:6" ht="15.75" x14ac:dyDescent="0.25">
      <c r="B46" s="27" t="s">
        <v>236</v>
      </c>
      <c r="C46" s="29">
        <f t="shared" ref="C46:D46" si="0">+C44</f>
        <v>320696.32781300007</v>
      </c>
      <c r="D46" s="154">
        <f t="shared" si="0"/>
        <v>447521</v>
      </c>
      <c r="E46" s="151">
        <f>+E44</f>
        <v>-14067038.584195841</v>
      </c>
      <c r="F46" s="178">
        <v>-17215904.178280003</v>
      </c>
    </row>
    <row r="47" spans="2:6" ht="15.75" x14ac:dyDescent="0.25">
      <c r="B47" s="27" t="s">
        <v>32</v>
      </c>
      <c r="C47" s="29"/>
      <c r="D47" s="154"/>
      <c r="E47" s="151"/>
      <c r="F47" s="178"/>
    </row>
    <row r="48" spans="2:6" ht="15.75" x14ac:dyDescent="0.25">
      <c r="B48" s="27"/>
      <c r="C48" s="29"/>
      <c r="D48" s="154"/>
      <c r="E48" s="151"/>
      <c r="F48" s="178"/>
    </row>
    <row r="49" spans="2:6" s="9" customFormat="1" ht="15.75" x14ac:dyDescent="0.25">
      <c r="B49" s="26" t="s">
        <v>235</v>
      </c>
      <c r="C49" s="30"/>
      <c r="D49" s="169"/>
      <c r="E49" s="238"/>
      <c r="F49" s="201"/>
    </row>
    <row r="50" spans="2:6" ht="15.75" x14ac:dyDescent="0.25">
      <c r="B50" s="27" t="s">
        <v>33</v>
      </c>
      <c r="C50" s="29"/>
      <c r="D50" s="154"/>
      <c r="E50" s="239"/>
      <c r="F50" s="240"/>
    </row>
    <row r="51" spans="2:6" ht="15.75" x14ac:dyDescent="0.25">
      <c r="B51" s="27" t="s">
        <v>240</v>
      </c>
      <c r="C51" s="29"/>
      <c r="D51" s="154"/>
      <c r="E51" s="239"/>
      <c r="F51" s="240"/>
    </row>
  </sheetData>
  <mergeCells count="6">
    <mergeCell ref="C5:D5"/>
    <mergeCell ref="E5:F5"/>
    <mergeCell ref="B1:F1"/>
    <mergeCell ref="B2:F2"/>
    <mergeCell ref="B4:F4"/>
    <mergeCell ref="B3:F3"/>
  </mergeCells>
  <phoneticPr fontId="0" type="noConversion"/>
  <pageMargins left="0.59055118110236204" right="0.43307086614173201" top="0.74803149606299202" bottom="0.74803149606299202" header="0.35433070866141703" footer="0.31496062992126"/>
  <pageSetup paperSize="9" scale="75"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K25" sqref="K25"/>
    </sheetView>
  </sheetViews>
  <sheetFormatPr defaultRowHeight="15" x14ac:dyDescent="0.25"/>
  <cols>
    <col min="1" max="1" width="6.5703125" customWidth="1"/>
    <col min="2" max="2" width="33.28515625" customWidth="1"/>
    <col min="3" max="3" width="12.140625" style="155" bestFit="1" customWidth="1"/>
    <col min="4" max="4" width="12.140625" bestFit="1" customWidth="1"/>
    <col min="5" max="5" width="10.85546875" hidden="1" customWidth="1"/>
    <col min="6" max="6" width="11.28515625" hidden="1" customWidth="1"/>
    <col min="7" max="7" width="11.5703125" bestFit="1" customWidth="1"/>
  </cols>
  <sheetData>
    <row r="1" spans="1:7" x14ac:dyDescent="0.25">
      <c r="A1" s="190" t="s">
        <v>220</v>
      </c>
      <c r="B1" s="190"/>
      <c r="C1" s="190"/>
      <c r="D1" s="190"/>
      <c r="E1" s="190"/>
      <c r="F1" s="190"/>
    </row>
    <row r="2" spans="1:7" ht="15.75" thickBot="1" x14ac:dyDescent="0.3"/>
    <row r="3" spans="1:7" x14ac:dyDescent="0.25">
      <c r="A3" s="43"/>
      <c r="B3" s="40"/>
      <c r="C3" s="346" t="s">
        <v>34</v>
      </c>
      <c r="D3" s="347"/>
      <c r="E3" s="346" t="s">
        <v>45</v>
      </c>
      <c r="F3" s="348"/>
    </row>
    <row r="4" spans="1:7" x14ac:dyDescent="0.25">
      <c r="A4" s="47" t="s">
        <v>1</v>
      </c>
      <c r="B4" s="45"/>
      <c r="C4" s="185" t="s">
        <v>35</v>
      </c>
      <c r="D4" s="88" t="s">
        <v>38</v>
      </c>
      <c r="E4" s="88" t="s">
        <v>35</v>
      </c>
      <c r="F4" s="92" t="s">
        <v>38</v>
      </c>
    </row>
    <row r="5" spans="1:7" x14ac:dyDescent="0.25">
      <c r="A5" s="47"/>
      <c r="B5" s="45"/>
      <c r="C5" s="186" t="s">
        <v>190</v>
      </c>
      <c r="D5" s="89" t="s">
        <v>192</v>
      </c>
      <c r="E5" s="89" t="s">
        <v>190</v>
      </c>
      <c r="F5" s="93" t="s">
        <v>192</v>
      </c>
    </row>
    <row r="6" spans="1:7" x14ac:dyDescent="0.25">
      <c r="A6" s="47"/>
      <c r="B6" s="45"/>
      <c r="C6" s="186" t="s">
        <v>189</v>
      </c>
      <c r="D6" s="89" t="s">
        <v>191</v>
      </c>
      <c r="E6" s="89" t="s">
        <v>189</v>
      </c>
      <c r="F6" s="93" t="s">
        <v>191</v>
      </c>
    </row>
    <row r="7" spans="1:7" x14ac:dyDescent="0.25">
      <c r="A7" s="49"/>
      <c r="B7" s="42"/>
      <c r="C7" s="187" t="str">
        <f>+Impairment!C8</f>
        <v>30/09/2018</v>
      </c>
      <c r="D7" s="187" t="str">
        <f>+Impairment!D8</f>
        <v>31/03/2018</v>
      </c>
      <c r="E7" s="90" t="s">
        <v>188</v>
      </c>
      <c r="F7" s="94" t="s">
        <v>188</v>
      </c>
    </row>
    <row r="8" spans="1:7" x14ac:dyDescent="0.25">
      <c r="A8" s="355" t="s">
        <v>203</v>
      </c>
      <c r="B8" s="355"/>
      <c r="C8" s="188"/>
      <c r="D8" s="188"/>
      <c r="E8" s="34"/>
      <c r="F8" s="34"/>
    </row>
    <row r="9" spans="1:7" x14ac:dyDescent="0.25">
      <c r="A9" s="341" t="s">
        <v>221</v>
      </c>
      <c r="B9" s="341"/>
      <c r="C9" s="200">
        <v>113898.04516000001</v>
      </c>
      <c r="D9" s="200">
        <f>+(314078267+33925)/1000-D12-D18-D15</f>
        <v>107684.66918799994</v>
      </c>
      <c r="E9" s="34"/>
      <c r="F9" s="34"/>
    </row>
    <row r="10" spans="1:7" x14ac:dyDescent="0.25">
      <c r="A10" s="341" t="s">
        <v>222</v>
      </c>
      <c r="B10" s="341"/>
      <c r="C10" s="200">
        <v>67648.820349999995</v>
      </c>
      <c r="D10" s="200">
        <f>521624589/1000-D16</f>
        <v>81339.352691999986</v>
      </c>
      <c r="E10" s="34"/>
      <c r="F10" s="34"/>
    </row>
    <row r="11" spans="1:7" x14ac:dyDescent="0.25">
      <c r="A11" s="341" t="s">
        <v>223</v>
      </c>
      <c r="B11" s="341"/>
      <c r="C11" s="200">
        <v>432289.83997000003</v>
      </c>
      <c r="D11" s="200">
        <f>4097610944/1000-D17</f>
        <v>575433.47902000044</v>
      </c>
      <c r="E11" s="34"/>
      <c r="F11" s="34"/>
    </row>
    <row r="12" spans="1:7" x14ac:dyDescent="0.25">
      <c r="A12" s="341" t="s">
        <v>315</v>
      </c>
      <c r="B12" s="341"/>
      <c r="C12" s="87">
        <v>73252.184760000004</v>
      </c>
      <c r="D12" s="87">
        <f>(7051774.05+20256030.81+2763664.79+5240833.64+1977192.02+524210.36+13614.31)/1000</f>
        <v>37827.319980000007</v>
      </c>
      <c r="E12" s="34"/>
      <c r="F12" s="34"/>
    </row>
    <row r="13" spans="1:7" x14ac:dyDescent="0.25">
      <c r="A13" s="355" t="s">
        <v>209</v>
      </c>
      <c r="B13" s="355"/>
      <c r="C13" s="150">
        <f>SUM(C9:C12)</f>
        <v>687088.89023999998</v>
      </c>
      <c r="D13" s="150">
        <f>SUM(D9:D12)</f>
        <v>802284.82088000036</v>
      </c>
      <c r="E13" s="34"/>
      <c r="F13" s="34"/>
    </row>
    <row r="14" spans="1:7" x14ac:dyDescent="0.25">
      <c r="A14" s="355" t="s">
        <v>210</v>
      </c>
      <c r="B14" s="355"/>
      <c r="C14" s="87"/>
      <c r="D14" s="87"/>
      <c r="E14" s="34"/>
      <c r="F14" s="34"/>
    </row>
    <row r="15" spans="1:7" x14ac:dyDescent="0.25">
      <c r="A15" s="341" t="s">
        <v>221</v>
      </c>
      <c r="B15" s="341"/>
      <c r="C15" s="87">
        <v>46839.983021</v>
      </c>
      <c r="D15" s="87">
        <v>149288.79864200001</v>
      </c>
      <c r="E15" s="34"/>
      <c r="F15" s="34"/>
      <c r="G15" s="155"/>
    </row>
    <row r="16" spans="1:7" x14ac:dyDescent="0.25">
      <c r="A16" s="341" t="s">
        <v>222</v>
      </c>
      <c r="B16" s="341"/>
      <c r="C16" s="87">
        <v>471371.22638000001</v>
      </c>
      <c r="D16" s="87">
        <v>440285.23630799999</v>
      </c>
      <c r="E16" s="34"/>
      <c r="F16" s="34"/>
      <c r="G16" s="155"/>
    </row>
    <row r="17" spans="1:8" x14ac:dyDescent="0.25">
      <c r="A17" s="341" t="s">
        <v>223</v>
      </c>
      <c r="B17" s="341"/>
      <c r="C17" s="87">
        <v>2541317.8027399997</v>
      </c>
      <c r="D17" s="87">
        <v>3522177.4649799997</v>
      </c>
      <c r="E17" s="34"/>
      <c r="F17" s="34"/>
      <c r="G17" s="155"/>
    </row>
    <row r="18" spans="1:8" x14ac:dyDescent="0.25">
      <c r="A18" s="341" t="s">
        <v>315</v>
      </c>
      <c r="B18" s="341"/>
      <c r="C18" s="200">
        <v>20412.569950000001</v>
      </c>
      <c r="D18" s="200">
        <v>19311.404190000001</v>
      </c>
      <c r="E18" s="34"/>
      <c r="F18" s="34"/>
      <c r="G18" s="155"/>
    </row>
    <row r="19" spans="1:8" x14ac:dyDescent="0.25">
      <c r="A19" s="355" t="s">
        <v>209</v>
      </c>
      <c r="B19" s="355"/>
      <c r="C19" s="150">
        <f>SUM(C15:C18)</f>
        <v>3079941.5820909995</v>
      </c>
      <c r="D19" s="150">
        <f>SUM(D15:D18)</f>
        <v>4131062.9041200001</v>
      </c>
      <c r="E19" s="34"/>
      <c r="F19" s="34"/>
      <c r="G19" s="23"/>
    </row>
    <row r="20" spans="1:8" x14ac:dyDescent="0.25">
      <c r="A20" s="355" t="s">
        <v>130</v>
      </c>
      <c r="B20" s="355"/>
      <c r="C20" s="150">
        <f>+C13+C19</f>
        <v>3767030.4723309996</v>
      </c>
      <c r="D20" s="150">
        <f>+D13+D19</f>
        <v>4933347.7250000006</v>
      </c>
      <c r="E20" s="34"/>
      <c r="F20" s="34"/>
    </row>
    <row r="21" spans="1:8" x14ac:dyDescent="0.25">
      <c r="A21" s="16"/>
      <c r="B21" s="23"/>
      <c r="C21" s="189">
        <f>+'FINANCIAL POSITION'!B38</f>
        <v>3767030.472331</v>
      </c>
      <c r="D21" s="16"/>
      <c r="E21" s="16"/>
      <c r="F21" s="16"/>
    </row>
    <row r="22" spans="1:8" x14ac:dyDescent="0.25">
      <c r="C22" s="155">
        <f>+C20-C21</f>
        <v>0</v>
      </c>
    </row>
    <row r="23" spans="1:8" x14ac:dyDescent="0.25">
      <c r="C23" s="20"/>
      <c r="D23" s="20"/>
      <c r="F23" s="23"/>
      <c r="H23" s="23"/>
    </row>
    <row r="24" spans="1:8" x14ac:dyDescent="0.25">
      <c r="C24" s="20"/>
      <c r="D24" s="20"/>
      <c r="F24" s="23"/>
      <c r="H24" s="23"/>
    </row>
    <row r="25" spans="1:8" x14ac:dyDescent="0.25">
      <c r="C25" s="20"/>
      <c r="D25" s="20"/>
      <c r="F25" s="23"/>
      <c r="H25" s="23"/>
    </row>
    <row r="26" spans="1:8" x14ac:dyDescent="0.25">
      <c r="B26" s="16"/>
      <c r="C26" s="21"/>
      <c r="D26" s="21"/>
      <c r="F26" s="23"/>
      <c r="H26" s="23"/>
    </row>
    <row r="27" spans="1:8" x14ac:dyDescent="0.25">
      <c r="B27" s="16"/>
      <c r="C27" s="189"/>
      <c r="D27" s="24"/>
      <c r="E27" s="23"/>
      <c r="F27" s="23"/>
      <c r="G27" s="23"/>
      <c r="H27" s="23"/>
    </row>
    <row r="28" spans="1:8" x14ac:dyDescent="0.25">
      <c r="E28" s="23"/>
    </row>
  </sheetData>
  <mergeCells count="15">
    <mergeCell ref="A19:B19"/>
    <mergeCell ref="A20:B20"/>
    <mergeCell ref="C3:D3"/>
    <mergeCell ref="E3:F3"/>
    <mergeCell ref="A8:B8"/>
    <mergeCell ref="A13:B13"/>
    <mergeCell ref="A14:B14"/>
    <mergeCell ref="A9:B9"/>
    <mergeCell ref="A10:B10"/>
    <mergeCell ref="A17:B17"/>
    <mergeCell ref="A18:B18"/>
    <mergeCell ref="A11:B11"/>
    <mergeCell ref="A12:B12"/>
    <mergeCell ref="A15:B15"/>
    <mergeCell ref="A16:B16"/>
  </mergeCells>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workbookViewId="0">
      <selection activeCell="A28" sqref="A28"/>
    </sheetView>
  </sheetViews>
  <sheetFormatPr defaultRowHeight="15" x14ac:dyDescent="0.25"/>
  <cols>
    <col min="1" max="1" width="48.85546875" style="1" customWidth="1"/>
    <col min="2" max="2" width="13.85546875" style="8" customWidth="1"/>
    <col min="3" max="3" width="15.42578125" style="8" customWidth="1"/>
    <col min="4" max="4" width="15.28515625" style="8" customWidth="1"/>
    <col min="5" max="5" width="14.140625" style="8" customWidth="1"/>
    <col min="6" max="16384" width="9.140625" style="1"/>
  </cols>
  <sheetData>
    <row r="1" spans="1:5" ht="15.75" x14ac:dyDescent="0.25">
      <c r="A1" s="276" t="s">
        <v>39</v>
      </c>
      <c r="B1" s="277"/>
      <c r="C1" s="277"/>
      <c r="D1" s="277"/>
      <c r="E1" s="278"/>
    </row>
    <row r="2" spans="1:5" ht="15.75" x14ac:dyDescent="0.25">
      <c r="A2" s="279" t="s">
        <v>40</v>
      </c>
      <c r="B2" s="280"/>
      <c r="C2" s="280"/>
      <c r="D2" s="280"/>
      <c r="E2" s="281"/>
    </row>
    <row r="3" spans="1:5" ht="15.75" x14ac:dyDescent="0.25">
      <c r="A3" s="285" t="s">
        <v>333</v>
      </c>
      <c r="B3" s="286"/>
      <c r="C3" s="286"/>
      <c r="D3" s="286"/>
      <c r="E3" s="287"/>
    </row>
    <row r="4" spans="1:5" ht="15.75" x14ac:dyDescent="0.25">
      <c r="A4" s="60"/>
      <c r="B4" s="58"/>
      <c r="C4" s="58"/>
      <c r="D4" s="58"/>
      <c r="E4" s="98"/>
    </row>
    <row r="5" spans="1:5" ht="15.75" x14ac:dyDescent="0.25">
      <c r="A5" s="55"/>
      <c r="B5" s="288" t="s">
        <v>34</v>
      </c>
      <c r="C5" s="289"/>
      <c r="D5" s="290" t="s">
        <v>45</v>
      </c>
      <c r="E5" s="291"/>
    </row>
    <row r="6" spans="1:5" ht="31.5" x14ac:dyDescent="0.25">
      <c r="A6" s="56" t="s">
        <v>1</v>
      </c>
      <c r="B6" s="114" t="s">
        <v>239</v>
      </c>
      <c r="C6" s="202" t="s">
        <v>312</v>
      </c>
      <c r="D6" s="231" t="s">
        <v>239</v>
      </c>
      <c r="E6" s="232" t="s">
        <v>312</v>
      </c>
    </row>
    <row r="7" spans="1:5" ht="15.75" x14ac:dyDescent="0.25">
      <c r="A7" s="56"/>
      <c r="B7" s="115" t="s">
        <v>36</v>
      </c>
      <c r="C7" s="203" t="s">
        <v>36</v>
      </c>
      <c r="D7" s="233" t="s">
        <v>36</v>
      </c>
      <c r="E7" s="234" t="s">
        <v>36</v>
      </c>
    </row>
    <row r="8" spans="1:5" ht="15.75" x14ac:dyDescent="0.25">
      <c r="A8" s="54"/>
      <c r="B8" s="115" t="s">
        <v>329</v>
      </c>
      <c r="C8" s="203" t="s">
        <v>317</v>
      </c>
      <c r="D8" s="115" t="s">
        <v>329</v>
      </c>
      <c r="E8" s="203" t="s">
        <v>317</v>
      </c>
    </row>
    <row r="9" spans="1:5" ht="15.75" x14ac:dyDescent="0.25">
      <c r="A9" s="54"/>
      <c r="B9" s="115" t="s">
        <v>37</v>
      </c>
      <c r="C9" s="203" t="s">
        <v>37</v>
      </c>
      <c r="D9" s="115" t="s">
        <v>37</v>
      </c>
      <c r="E9" s="203" t="s">
        <v>37</v>
      </c>
    </row>
    <row r="10" spans="1:5" ht="15.75" x14ac:dyDescent="0.25">
      <c r="A10" s="54"/>
      <c r="B10" s="73" t="s">
        <v>337</v>
      </c>
      <c r="C10" s="73" t="s">
        <v>338</v>
      </c>
      <c r="D10" s="214" t="s">
        <v>337</v>
      </c>
      <c r="E10" s="214" t="s">
        <v>338</v>
      </c>
    </row>
    <row r="11" spans="1:5" ht="15.75" x14ac:dyDescent="0.25">
      <c r="A11" s="57"/>
      <c r="B11" s="116" t="s">
        <v>181</v>
      </c>
      <c r="C11" s="204" t="s">
        <v>181</v>
      </c>
      <c r="D11" s="235" t="s">
        <v>182</v>
      </c>
      <c r="E11" s="235" t="s">
        <v>182</v>
      </c>
    </row>
    <row r="12" spans="1:5" s="9" customFormat="1" ht="15.75" x14ac:dyDescent="0.25">
      <c r="A12" s="26" t="s">
        <v>41</v>
      </c>
      <c r="B12" s="30">
        <f>+'INCOME-I'!C44</f>
        <v>320696.32781300007</v>
      </c>
      <c r="C12" s="30">
        <f>+'INCOME-I'!D44</f>
        <v>447521</v>
      </c>
      <c r="D12" s="238">
        <f>+'INCOME-I'!E44</f>
        <v>-14067038.584195841</v>
      </c>
      <c r="E12" s="238">
        <f>+'INCOME-I'!F44</f>
        <v>-17215904.178280003</v>
      </c>
    </row>
    <row r="13" spans="1:5" ht="15.75" x14ac:dyDescent="0.25">
      <c r="A13" s="27"/>
      <c r="B13" s="29"/>
      <c r="C13" s="29"/>
      <c r="D13" s="151"/>
      <c r="E13" s="151"/>
    </row>
    <row r="14" spans="1:5" s="9" customFormat="1" ht="15.75" x14ac:dyDescent="0.25">
      <c r="A14" s="26" t="s">
        <v>42</v>
      </c>
      <c r="B14" s="30"/>
      <c r="C14" s="30"/>
      <c r="D14" s="238"/>
      <c r="E14" s="238"/>
    </row>
    <row r="15" spans="1:5" ht="15.75" x14ac:dyDescent="0.25">
      <c r="A15" s="27" t="s">
        <v>43</v>
      </c>
      <c r="B15" s="29"/>
      <c r="C15" s="29"/>
      <c r="D15" s="151"/>
      <c r="E15" s="151"/>
    </row>
    <row r="16" spans="1:5" ht="15.75" x14ac:dyDescent="0.25">
      <c r="A16" s="27" t="s">
        <v>186</v>
      </c>
      <c r="B16" s="29">
        <v>0</v>
      </c>
      <c r="C16" s="29">
        <v>0</v>
      </c>
      <c r="D16" s="151">
        <v>0</v>
      </c>
      <c r="E16" s="151">
        <v>0</v>
      </c>
    </row>
    <row r="17" spans="1:5" ht="15.75" x14ac:dyDescent="0.25">
      <c r="A17" s="27" t="s">
        <v>44</v>
      </c>
      <c r="B17" s="29"/>
      <c r="C17" s="29"/>
      <c r="D17" s="151"/>
      <c r="E17" s="151"/>
    </row>
    <row r="18" spans="1:5" ht="15.75" x14ac:dyDescent="0.25">
      <c r="A18" s="27" t="s">
        <v>187</v>
      </c>
      <c r="B18" s="29"/>
      <c r="C18" s="29"/>
      <c r="D18" s="151"/>
      <c r="E18" s="151"/>
    </row>
    <row r="19" spans="1:5" ht="15.75" x14ac:dyDescent="0.25">
      <c r="A19" s="27" t="s">
        <v>46</v>
      </c>
      <c r="B19" s="29"/>
      <c r="C19" s="29"/>
      <c r="D19" s="151"/>
      <c r="E19" s="151"/>
    </row>
    <row r="20" spans="1:5" ht="15.75" x14ac:dyDescent="0.25">
      <c r="A20" s="27" t="s">
        <v>47</v>
      </c>
      <c r="B20" s="29"/>
      <c r="C20" s="29"/>
      <c r="D20" s="151"/>
      <c r="E20" s="151"/>
    </row>
    <row r="21" spans="1:5" ht="15.75" x14ac:dyDescent="0.25">
      <c r="A21" s="27" t="s">
        <v>48</v>
      </c>
      <c r="B21" s="29"/>
      <c r="C21" s="29"/>
      <c r="D21" s="151"/>
      <c r="E21" s="151"/>
    </row>
    <row r="22" spans="1:5" ht="15.75" x14ac:dyDescent="0.25">
      <c r="A22" s="27" t="s">
        <v>231</v>
      </c>
      <c r="B22" s="29">
        <v>153395.70939</v>
      </c>
      <c r="C22" s="154">
        <v>11479</v>
      </c>
      <c r="D22" s="151"/>
      <c r="E22" s="151"/>
    </row>
    <row r="23" spans="1:5" ht="15.75" x14ac:dyDescent="0.25">
      <c r="A23" s="27" t="s">
        <v>59</v>
      </c>
      <c r="B23" s="29"/>
      <c r="C23" s="29"/>
      <c r="D23" s="151"/>
      <c r="E23" s="151"/>
    </row>
    <row r="24" spans="1:5" ht="15.75" x14ac:dyDescent="0.25">
      <c r="A24" s="27" t="s">
        <v>49</v>
      </c>
      <c r="B24" s="29"/>
      <c r="C24" s="29"/>
      <c r="D24" s="151"/>
      <c r="E24" s="151"/>
    </row>
    <row r="25" spans="1:5" ht="15.75" x14ac:dyDescent="0.25">
      <c r="A25" s="27" t="s">
        <v>60</v>
      </c>
      <c r="B25" s="29"/>
      <c r="C25" s="29"/>
      <c r="D25" s="151"/>
      <c r="E25" s="151"/>
    </row>
    <row r="26" spans="1:5" s="9" customFormat="1" ht="15.75" x14ac:dyDescent="0.25">
      <c r="A26" s="26" t="s">
        <v>50</v>
      </c>
      <c r="B26" s="30">
        <f>SUM(B15:B25)</f>
        <v>153395.70939</v>
      </c>
      <c r="C26" s="30">
        <f>SUM(C15:C25)</f>
        <v>11479</v>
      </c>
      <c r="D26" s="238">
        <f>+D16</f>
        <v>0</v>
      </c>
      <c r="E26" s="238">
        <f>+E16</f>
        <v>0</v>
      </c>
    </row>
    <row r="27" spans="1:5" s="9" customFormat="1" ht="15.75" x14ac:dyDescent="0.25">
      <c r="A27" s="26" t="s">
        <v>61</v>
      </c>
      <c r="B27" s="30"/>
      <c r="C27" s="30"/>
      <c r="D27" s="238"/>
      <c r="E27" s="238"/>
    </row>
    <row r="28" spans="1:5" ht="15.75" x14ac:dyDescent="0.25">
      <c r="A28" s="26" t="s">
        <v>62</v>
      </c>
      <c r="B28" s="30">
        <f>+B26+B12</f>
        <v>474092.03720300004</v>
      </c>
      <c r="C28" s="30">
        <f>+C26+C12</f>
        <v>459000</v>
      </c>
      <c r="D28" s="238">
        <f>+D26+D12</f>
        <v>-14067038.584195841</v>
      </c>
      <c r="E28" s="238">
        <f>+E26+E12</f>
        <v>-17215904.178280003</v>
      </c>
    </row>
    <row r="29" spans="1:5" ht="15.75" x14ac:dyDescent="0.25">
      <c r="A29" s="26" t="s">
        <v>51</v>
      </c>
      <c r="B29" s="29"/>
      <c r="C29" s="29"/>
      <c r="D29" s="151"/>
      <c r="E29" s="151"/>
    </row>
    <row r="30" spans="1:5" ht="15.75" x14ac:dyDescent="0.25">
      <c r="A30" s="27" t="s">
        <v>31</v>
      </c>
      <c r="B30" s="29">
        <f t="shared" ref="B30:C30" si="0">+B28</f>
        <v>474092.03720300004</v>
      </c>
      <c r="C30" s="29">
        <f t="shared" si="0"/>
        <v>459000</v>
      </c>
      <c r="D30" s="151">
        <f>+D28</f>
        <v>-14067038.584195841</v>
      </c>
      <c r="E30" s="151">
        <f>+E28</f>
        <v>-17215904.178280003</v>
      </c>
    </row>
    <row r="31" spans="1:5" ht="15.75" x14ac:dyDescent="0.25">
      <c r="A31" s="27" t="s">
        <v>52</v>
      </c>
      <c r="B31" s="29"/>
      <c r="C31" s="29"/>
      <c r="D31" s="151">
        <v>0</v>
      </c>
      <c r="E31" s="151">
        <v>0</v>
      </c>
    </row>
  </sheetData>
  <mergeCells count="5">
    <mergeCell ref="B5:C5"/>
    <mergeCell ref="D5:E5"/>
    <mergeCell ref="A1:E1"/>
    <mergeCell ref="A2:E2"/>
    <mergeCell ref="A3:E3"/>
  </mergeCells>
  <phoneticPr fontId="0" type="noConversion"/>
  <pageMargins left="0.44" right="0.17" top="0.74803149606299213" bottom="0.74803149606299213" header="0.31496062992125984" footer="0.31496062992125984"/>
  <pageSetup paperSize="9" scale="90" fitToHeight="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75"/>
  <sheetViews>
    <sheetView zoomScaleNormal="100" workbookViewId="0">
      <selection activeCell="D59" sqref="D59:D60"/>
    </sheetView>
  </sheetViews>
  <sheetFormatPr defaultRowHeight="15" x14ac:dyDescent="0.25"/>
  <cols>
    <col min="1" max="1" width="46.140625" style="1" customWidth="1"/>
    <col min="2" max="2" width="15.5703125" style="13" bestFit="1" customWidth="1"/>
    <col min="3" max="3" width="16.5703125" style="13" bestFit="1" customWidth="1"/>
    <col min="4" max="4" width="15.7109375" style="245" customWidth="1"/>
    <col min="5" max="5" width="16.5703125" style="13" customWidth="1"/>
    <col min="6" max="6" width="14.28515625" style="11" bestFit="1" customWidth="1"/>
    <col min="7" max="7" width="9.5703125" style="1" bestFit="1" customWidth="1"/>
    <col min="8" max="8" width="13.7109375" style="1" bestFit="1" customWidth="1"/>
    <col min="9" max="16384" width="9.140625" style="1"/>
  </cols>
  <sheetData>
    <row r="1" spans="1:5" ht="15.75" x14ac:dyDescent="0.25">
      <c r="A1" s="276" t="s">
        <v>39</v>
      </c>
      <c r="B1" s="277"/>
      <c r="C1" s="277"/>
      <c r="D1" s="277"/>
      <c r="E1" s="278"/>
    </row>
    <row r="2" spans="1:5" ht="15.75" x14ac:dyDescent="0.25">
      <c r="A2" s="279" t="s">
        <v>226</v>
      </c>
      <c r="B2" s="280"/>
      <c r="C2" s="280"/>
      <c r="D2" s="280"/>
      <c r="E2" s="281"/>
    </row>
    <row r="3" spans="1:5" ht="15.75" x14ac:dyDescent="0.25">
      <c r="A3" s="279" t="s">
        <v>334</v>
      </c>
      <c r="B3" s="280"/>
      <c r="C3" s="280"/>
      <c r="D3" s="280"/>
      <c r="E3" s="281"/>
    </row>
    <row r="4" spans="1:5" ht="15.75" x14ac:dyDescent="0.25">
      <c r="A4" s="282"/>
      <c r="B4" s="283"/>
      <c r="C4" s="283"/>
      <c r="D4" s="283"/>
      <c r="E4" s="284"/>
    </row>
    <row r="5" spans="1:5" ht="15.75" x14ac:dyDescent="0.25">
      <c r="A5" s="55"/>
      <c r="B5" s="296" t="s">
        <v>34</v>
      </c>
      <c r="C5" s="297"/>
      <c r="D5" s="298" t="s">
        <v>45</v>
      </c>
      <c r="E5" s="299"/>
    </row>
    <row r="6" spans="1:5" ht="15.75" x14ac:dyDescent="0.25">
      <c r="A6" s="56" t="s">
        <v>1</v>
      </c>
      <c r="B6" s="294" t="s">
        <v>238</v>
      </c>
      <c r="C6" s="294" t="s">
        <v>237</v>
      </c>
      <c r="D6" s="292" t="s">
        <v>238</v>
      </c>
      <c r="E6" s="292" t="s">
        <v>237</v>
      </c>
    </row>
    <row r="7" spans="1:5" ht="15.75" x14ac:dyDescent="0.25">
      <c r="A7" s="56"/>
      <c r="B7" s="295"/>
      <c r="C7" s="295"/>
      <c r="D7" s="293"/>
      <c r="E7" s="293"/>
    </row>
    <row r="8" spans="1:5" ht="15.75" x14ac:dyDescent="0.25">
      <c r="A8" s="56"/>
      <c r="B8" s="117" t="s">
        <v>180</v>
      </c>
      <c r="C8" s="117" t="s">
        <v>180</v>
      </c>
      <c r="D8" s="241" t="s">
        <v>180</v>
      </c>
      <c r="E8" s="241" t="s">
        <v>180</v>
      </c>
    </row>
    <row r="9" spans="1:5" ht="15.75" x14ac:dyDescent="0.25">
      <c r="A9" s="54"/>
      <c r="B9" s="117" t="s">
        <v>337</v>
      </c>
      <c r="C9" s="117" t="s">
        <v>321</v>
      </c>
      <c r="D9" s="241" t="str">
        <f>+B9</f>
        <v>30.09.2018</v>
      </c>
      <c r="E9" s="241" t="str">
        <f>+C9</f>
        <v>31.03.2018</v>
      </c>
    </row>
    <row r="10" spans="1:5" ht="15.75" x14ac:dyDescent="0.25">
      <c r="A10" s="57"/>
      <c r="B10" s="118" t="s">
        <v>181</v>
      </c>
      <c r="C10" s="118" t="s">
        <v>181</v>
      </c>
      <c r="D10" s="236" t="s">
        <v>182</v>
      </c>
      <c r="E10" s="236" t="s">
        <v>182</v>
      </c>
    </row>
    <row r="11" spans="1:5" ht="15.75" x14ac:dyDescent="0.25">
      <c r="A11" s="57"/>
      <c r="B11" s="118"/>
      <c r="C11" s="118" t="s">
        <v>252</v>
      </c>
      <c r="D11" s="236"/>
      <c r="E11" s="118" t="s">
        <v>252</v>
      </c>
    </row>
    <row r="12" spans="1:5" ht="15.75" x14ac:dyDescent="0.25">
      <c r="A12" s="26" t="s">
        <v>53</v>
      </c>
      <c r="B12" s="28"/>
      <c r="C12" s="28"/>
      <c r="D12" s="242"/>
      <c r="E12" s="242"/>
    </row>
    <row r="13" spans="1:5" ht="15.75" x14ac:dyDescent="0.25">
      <c r="A13" s="27" t="s">
        <v>241</v>
      </c>
      <c r="B13" s="151">
        <f>13651.0668+299687.46147+277449.66497+162543.482363</f>
        <v>753331.67560299998</v>
      </c>
      <c r="C13" s="151">
        <f>16929789947/1000-C15</f>
        <v>568903.43742000125</v>
      </c>
      <c r="D13" s="151">
        <f>64621192721.5707/1000</f>
        <v>64621192.7215707</v>
      </c>
      <c r="E13" s="151">
        <f>117804569005.13/1000</f>
        <v>117804569.00513001</v>
      </c>
    </row>
    <row r="14" spans="1:5" ht="15.75" x14ac:dyDescent="0.25">
      <c r="A14" s="27" t="s">
        <v>54</v>
      </c>
      <c r="B14" s="29">
        <v>57453.355320000002</v>
      </c>
      <c r="C14" s="29">
        <f>84283877/1000</f>
        <v>84283.876999999993</v>
      </c>
      <c r="D14" s="151">
        <f>2719773728.1/1000</f>
        <v>2719773.7280999999</v>
      </c>
      <c r="E14" s="151">
        <f>3613702516.78/1000</f>
        <v>3613702.5167800002</v>
      </c>
    </row>
    <row r="15" spans="1:5" ht="15.75" x14ac:dyDescent="0.25">
      <c r="A15" s="27" t="s">
        <v>55</v>
      </c>
      <c r="B15" s="29">
        <v>17582886.509580001</v>
      </c>
      <c r="C15" s="29">
        <f>16360886509.58/1000</f>
        <v>16360886.509579999</v>
      </c>
      <c r="D15" s="151">
        <f>125455369926.224/1000</f>
        <v>125455369.92622399</v>
      </c>
      <c r="E15" s="151">
        <f>147645339135.78/1000</f>
        <v>147645339.13578001</v>
      </c>
    </row>
    <row r="16" spans="1:5" ht="15.75" x14ac:dyDescent="0.25">
      <c r="A16" s="27" t="s">
        <v>56</v>
      </c>
      <c r="B16" s="29">
        <v>0</v>
      </c>
      <c r="C16" s="29">
        <v>0</v>
      </c>
      <c r="D16" s="151">
        <v>0</v>
      </c>
      <c r="E16" s="151">
        <v>0</v>
      </c>
    </row>
    <row r="17" spans="1:9" ht="15.75" x14ac:dyDescent="0.25">
      <c r="A17" s="27" t="s">
        <v>57</v>
      </c>
      <c r="B17" s="29">
        <v>0</v>
      </c>
      <c r="C17" s="29">
        <v>0</v>
      </c>
      <c r="D17" s="151">
        <v>0</v>
      </c>
      <c r="E17" s="151">
        <v>0</v>
      </c>
    </row>
    <row r="18" spans="1:9" ht="15.75" x14ac:dyDescent="0.25">
      <c r="A18" s="27" t="s">
        <v>63</v>
      </c>
      <c r="B18" s="29">
        <v>0</v>
      </c>
      <c r="C18" s="29">
        <v>0</v>
      </c>
      <c r="D18" s="151">
        <v>0</v>
      </c>
      <c r="E18" s="151">
        <v>0</v>
      </c>
    </row>
    <row r="19" spans="1:9" ht="15.75" x14ac:dyDescent="0.25">
      <c r="A19" s="27" t="s">
        <v>64</v>
      </c>
      <c r="B19" s="29">
        <v>0</v>
      </c>
      <c r="C19" s="29">
        <v>0</v>
      </c>
      <c r="D19" s="151">
        <v>0</v>
      </c>
      <c r="E19" s="151">
        <v>0</v>
      </c>
    </row>
    <row r="20" spans="1:9" ht="15.75" x14ac:dyDescent="0.25">
      <c r="A20" s="27" t="s">
        <v>183</v>
      </c>
      <c r="B20" s="29">
        <v>105000</v>
      </c>
      <c r="C20" s="29">
        <v>77000</v>
      </c>
      <c r="D20" s="151">
        <f>736252596.39/1000</f>
        <v>736252.59638999996</v>
      </c>
      <c r="E20" s="151">
        <f>4926760256.42/1000</f>
        <v>4926760.2564200005</v>
      </c>
    </row>
    <row r="21" spans="1:9" ht="15.75" x14ac:dyDescent="0.25">
      <c r="A21" s="27" t="s">
        <v>65</v>
      </c>
      <c r="B21" s="29">
        <f>7087861.285303+1691000</f>
        <v>8778861.2853030004</v>
      </c>
      <c r="C21" s="29">
        <f>8234793819/1000</f>
        <v>8234793.8190000001</v>
      </c>
      <c r="D21" s="151">
        <f>+(1285099205444.3+28296380995.9373)/1000</f>
        <v>1313395586.4402373</v>
      </c>
      <c r="E21" s="151">
        <f>+(1294663548371.84+25297840071.7)/1000</f>
        <v>1319961388.4435401</v>
      </c>
    </row>
    <row r="22" spans="1:9" ht="15.75" x14ac:dyDescent="0.25">
      <c r="A22" s="27" t="s">
        <v>66</v>
      </c>
      <c r="B22" s="29">
        <v>2040</v>
      </c>
      <c r="C22" s="29">
        <v>2040</v>
      </c>
      <c r="D22" s="151">
        <f>225552304731.26/1000</f>
        <v>225552304.73126</v>
      </c>
      <c r="E22" s="151">
        <f>194048499471.44/1000</f>
        <v>194048499.47144002</v>
      </c>
    </row>
    <row r="23" spans="1:9" ht="15.75" x14ac:dyDescent="0.25">
      <c r="A23" s="27" t="s">
        <v>67</v>
      </c>
      <c r="B23" s="29">
        <f>6565927.10364-B22-1691000</f>
        <v>4872887.1036400003</v>
      </c>
      <c r="C23" s="29">
        <f>5469954249/1000</f>
        <v>5469954.2489999998</v>
      </c>
      <c r="D23" s="151">
        <f>517305570947.13/1000</f>
        <v>517305570.94713002</v>
      </c>
      <c r="E23" s="151">
        <f>488797163694.29/1000</f>
        <v>488797163.69428998</v>
      </c>
    </row>
    <row r="24" spans="1:9" ht="15.75" x14ac:dyDescent="0.25">
      <c r="A24" s="27" t="s">
        <v>68</v>
      </c>
      <c r="B24" s="29">
        <v>0</v>
      </c>
      <c r="C24" s="29">
        <v>0</v>
      </c>
      <c r="D24" s="151">
        <v>0</v>
      </c>
      <c r="E24" s="151">
        <v>0</v>
      </c>
    </row>
    <row r="25" spans="1:9" ht="15.75" x14ac:dyDescent="0.25">
      <c r="A25" s="27" t="s">
        <v>69</v>
      </c>
      <c r="B25" s="29">
        <v>0</v>
      </c>
      <c r="C25" s="29">
        <v>0</v>
      </c>
      <c r="D25" s="151">
        <v>0</v>
      </c>
      <c r="E25" s="151">
        <v>0</v>
      </c>
    </row>
    <row r="26" spans="1:9" ht="15.75" x14ac:dyDescent="0.25">
      <c r="A26" s="27" t="s">
        <v>242</v>
      </c>
      <c r="B26" s="29">
        <v>139357.07656000002</v>
      </c>
      <c r="C26" s="29">
        <f>139549688/1000</f>
        <v>139549.68799999999</v>
      </c>
      <c r="D26" s="151">
        <f>29623769614.4051/1000</f>
        <v>29623769.614405103</v>
      </c>
      <c r="E26" s="151">
        <f>28934339221.52/1000</f>
        <v>28934339.221519999</v>
      </c>
    </row>
    <row r="27" spans="1:9" ht="15.75" x14ac:dyDescent="0.25">
      <c r="A27" s="27" t="s">
        <v>70</v>
      </c>
      <c r="B27" s="29">
        <v>0</v>
      </c>
      <c r="C27" s="29">
        <v>0</v>
      </c>
      <c r="D27" s="151">
        <v>0</v>
      </c>
      <c r="E27" s="151">
        <v>0</v>
      </c>
    </row>
    <row r="28" spans="1:9" ht="15.75" x14ac:dyDescent="0.25">
      <c r="A28" s="27" t="s">
        <v>71</v>
      </c>
      <c r="B28" s="29">
        <v>0</v>
      </c>
      <c r="C28" s="29">
        <v>0</v>
      </c>
      <c r="D28" s="151">
        <v>0</v>
      </c>
      <c r="E28" s="151">
        <v>0</v>
      </c>
    </row>
    <row r="29" spans="1:9" ht="15.75" x14ac:dyDescent="0.25">
      <c r="A29" s="27" t="s">
        <v>243</v>
      </c>
      <c r="B29" s="29">
        <f>1827323/1000</f>
        <v>1827.3230000000001</v>
      </c>
      <c r="C29" s="29">
        <f>1827323/1000</f>
        <v>1827.3230000000001</v>
      </c>
      <c r="D29" s="151">
        <f>48626825373.3744/1000</f>
        <v>48626825.373374395</v>
      </c>
      <c r="E29" s="151">
        <f>42179642000/1000</f>
        <v>42179642</v>
      </c>
    </row>
    <row r="30" spans="1:9" ht="15.75" x14ac:dyDescent="0.25">
      <c r="A30" s="27" t="s">
        <v>72</v>
      </c>
      <c r="B30" s="29">
        <f>107614.441887-B29</f>
        <v>105787.11888699999</v>
      </c>
      <c r="C30" s="29">
        <f>32567427/1000</f>
        <v>32567.427</v>
      </c>
      <c r="D30" s="151">
        <f>128108860637.346/1000</f>
        <v>128108860.637346</v>
      </c>
      <c r="E30" s="151">
        <f>131768900075.05/1000</f>
        <v>131768900.07505</v>
      </c>
    </row>
    <row r="31" spans="1:9" s="9" customFormat="1" ht="15.75" x14ac:dyDescent="0.25">
      <c r="A31" s="26" t="s">
        <v>73</v>
      </c>
      <c r="B31" s="30">
        <f>SUM(B13:B30)</f>
        <v>32399431.447893005</v>
      </c>
      <c r="C31" s="30">
        <f>SUM(C13:C30)</f>
        <v>30971806.329999998</v>
      </c>
      <c r="D31" s="238">
        <f>SUM(D13:D30)</f>
        <v>2456145506.7160378</v>
      </c>
      <c r="E31" s="238">
        <f>SUM(E13:E30)</f>
        <v>2479680303.8199501</v>
      </c>
      <c r="F31" s="160"/>
      <c r="G31" s="146"/>
      <c r="H31" s="146"/>
      <c r="I31" s="146"/>
    </row>
    <row r="32" spans="1:9" ht="15.75" x14ac:dyDescent="0.25">
      <c r="A32" s="26" t="s">
        <v>74</v>
      </c>
      <c r="B32" s="29"/>
      <c r="C32" s="29"/>
      <c r="D32" s="151"/>
      <c r="E32" s="151"/>
    </row>
    <row r="33" spans="1:6" ht="15.75" x14ac:dyDescent="0.25">
      <c r="A33" s="27" t="s">
        <v>75</v>
      </c>
      <c r="B33" s="29">
        <v>19267133.903489001</v>
      </c>
      <c r="C33" s="29">
        <f>17201414273/1000</f>
        <v>17201414.272999998</v>
      </c>
      <c r="D33" s="151">
        <f>916959835.6583/1000</f>
        <v>916959.83565830009</v>
      </c>
      <c r="E33" s="151">
        <f>8771240615.79/1000</f>
        <v>8771240.6157900002</v>
      </c>
    </row>
    <row r="34" spans="1:6" ht="15.75" x14ac:dyDescent="0.25">
      <c r="A34" s="27" t="s">
        <v>56</v>
      </c>
      <c r="B34" s="29">
        <v>0</v>
      </c>
      <c r="C34" s="29">
        <v>0</v>
      </c>
      <c r="D34" s="151">
        <v>0</v>
      </c>
      <c r="E34" s="151">
        <v>0</v>
      </c>
    </row>
    <row r="35" spans="1:6" ht="15.75" x14ac:dyDescent="0.25">
      <c r="A35" s="27" t="s">
        <v>57</v>
      </c>
      <c r="B35" s="29">
        <v>0</v>
      </c>
      <c r="C35" s="29">
        <v>0</v>
      </c>
      <c r="D35" s="151">
        <v>0</v>
      </c>
      <c r="E35" s="151">
        <v>0</v>
      </c>
    </row>
    <row r="36" spans="1:6" ht="15.75" x14ac:dyDescent="0.25">
      <c r="A36" s="27" t="s">
        <v>244</v>
      </c>
      <c r="B36" s="29">
        <v>0</v>
      </c>
      <c r="C36" s="29">
        <v>0</v>
      </c>
      <c r="D36" s="151">
        <v>0</v>
      </c>
      <c r="E36" s="151">
        <v>0</v>
      </c>
    </row>
    <row r="37" spans="1:6" ht="15.75" x14ac:dyDescent="0.25">
      <c r="A37" s="27" t="s">
        <v>64</v>
      </c>
      <c r="B37" s="29">
        <v>0</v>
      </c>
      <c r="C37" s="29">
        <v>0</v>
      </c>
      <c r="D37" s="151"/>
      <c r="E37" s="151"/>
    </row>
    <row r="38" spans="1:6" ht="15.75" x14ac:dyDescent="0.25">
      <c r="A38" s="27" t="s">
        <v>142</v>
      </c>
      <c r="B38" s="29">
        <f>687088.89024+3079941.582091</f>
        <v>3767030.472331</v>
      </c>
      <c r="C38" s="29">
        <f>4933347725/1000</f>
        <v>4933347.7249999996</v>
      </c>
      <c r="D38" s="151">
        <f>2231079047858.1/1000</f>
        <v>2231079047.8580999</v>
      </c>
      <c r="E38" s="151">
        <f>2168180603420.74/1000</f>
        <v>2168180603.4207401</v>
      </c>
    </row>
    <row r="39" spans="1:6" ht="15.75" x14ac:dyDescent="0.25">
      <c r="A39" s="27" t="s">
        <v>76</v>
      </c>
      <c r="B39" s="29">
        <v>0</v>
      </c>
      <c r="C39" s="29">
        <v>0</v>
      </c>
      <c r="D39" s="151">
        <v>0</v>
      </c>
      <c r="E39" s="151">
        <v>0</v>
      </c>
    </row>
    <row r="40" spans="1:6" ht="15.75" x14ac:dyDescent="0.25">
      <c r="A40" s="27" t="s">
        <v>77</v>
      </c>
      <c r="B40" s="29">
        <v>0</v>
      </c>
      <c r="C40" s="29">
        <v>0</v>
      </c>
      <c r="D40" s="151">
        <v>0</v>
      </c>
      <c r="E40" s="151">
        <v>0</v>
      </c>
    </row>
    <row r="41" spans="1:6" ht="15.75" x14ac:dyDescent="0.25">
      <c r="A41" s="27" t="s">
        <v>78</v>
      </c>
      <c r="B41" s="29">
        <v>64100.00129</v>
      </c>
      <c r="C41" s="29">
        <v>22313</v>
      </c>
      <c r="D41" s="151">
        <v>0</v>
      </c>
      <c r="E41" s="151">
        <v>0</v>
      </c>
    </row>
    <row r="42" spans="1:6" ht="15.75" x14ac:dyDescent="0.25">
      <c r="A42" s="27" t="s">
        <v>247</v>
      </c>
      <c r="B42" s="29">
        <v>0</v>
      </c>
      <c r="C42" s="29">
        <v>0</v>
      </c>
      <c r="D42" s="151">
        <f>0/1000</f>
        <v>0</v>
      </c>
      <c r="E42" s="151">
        <f>-765465.61/1000</f>
        <v>-765.46560999999997</v>
      </c>
    </row>
    <row r="43" spans="1:6" ht="15.75" x14ac:dyDescent="0.25">
      <c r="A43" s="27" t="s">
        <v>79</v>
      </c>
      <c r="B43" s="271">
        <f>17835992.01/1000</f>
        <v>17835.992010000002</v>
      </c>
      <c r="C43" s="29">
        <v>16873</v>
      </c>
      <c r="D43" s="151">
        <f>80823488.325087/1000</f>
        <v>80823.48832508699</v>
      </c>
      <c r="E43" s="151">
        <f>76977504.27/1000</f>
        <v>76977.50426999999</v>
      </c>
    </row>
    <row r="44" spans="1:6" ht="15.75" x14ac:dyDescent="0.25">
      <c r="A44" s="27" t="s">
        <v>80</v>
      </c>
      <c r="B44" s="271">
        <f>285022.429123-B41-B43</f>
        <v>203086.43582300004</v>
      </c>
      <c r="C44" s="29">
        <f>191258153/1000</f>
        <v>191258.15299999999</v>
      </c>
      <c r="D44" s="151">
        <f>103368576478.425/1000</f>
        <v>103368576.478425</v>
      </c>
      <c r="E44" s="151">
        <f>169912417366.59/1000</f>
        <v>169912417.36658999</v>
      </c>
    </row>
    <row r="45" spans="1:6" ht="15.75" x14ac:dyDescent="0.25">
      <c r="A45" s="27" t="s">
        <v>81</v>
      </c>
      <c r="B45" s="29">
        <v>0</v>
      </c>
      <c r="C45" s="29">
        <v>0</v>
      </c>
      <c r="D45" s="151">
        <v>0</v>
      </c>
      <c r="E45" s="151">
        <v>0</v>
      </c>
    </row>
    <row r="46" spans="1:6" ht="15.75" x14ac:dyDescent="0.25">
      <c r="A46" s="27" t="s">
        <v>82</v>
      </c>
      <c r="B46" s="29">
        <v>0</v>
      </c>
      <c r="C46" s="29">
        <v>0</v>
      </c>
      <c r="D46" s="151">
        <v>0</v>
      </c>
      <c r="E46" s="151">
        <v>0</v>
      </c>
    </row>
    <row r="47" spans="1:6" s="9" customFormat="1" ht="15.75" x14ac:dyDescent="0.25">
      <c r="A47" s="26" t="s">
        <v>83</v>
      </c>
      <c r="B47" s="30">
        <f>SUM(B33:B46)</f>
        <v>23319186.804943003</v>
      </c>
      <c r="C47" s="30">
        <f>SUM(C33:C46)</f>
        <v>22365206.150999997</v>
      </c>
      <c r="D47" s="238">
        <f>SUM(D33:D46)</f>
        <v>2335445407.6605082</v>
      </c>
      <c r="E47" s="238">
        <f>SUM(E33:E46)</f>
        <v>2346940473.4417801</v>
      </c>
      <c r="F47" s="146"/>
    </row>
    <row r="48" spans="1:6" ht="15.75" x14ac:dyDescent="0.25">
      <c r="A48" s="26" t="s">
        <v>84</v>
      </c>
      <c r="B48" s="29"/>
      <c r="C48" s="29"/>
      <c r="D48" s="151"/>
      <c r="E48" s="151"/>
    </row>
    <row r="49" spans="1:6" ht="15.75" x14ac:dyDescent="0.25">
      <c r="A49" s="27" t="s">
        <v>85</v>
      </c>
      <c r="B49" s="29">
        <f>2288494500/1000</f>
        <v>2288494.5</v>
      </c>
      <c r="C49" s="29">
        <f>2288494500/1000</f>
        <v>2288494.5</v>
      </c>
      <c r="D49" s="151">
        <f>48907699750/1000</f>
        <v>48907699.75</v>
      </c>
      <c r="E49" s="151">
        <f>48907699750/1000</f>
        <v>48907699.75</v>
      </c>
    </row>
    <row r="50" spans="1:6" ht="15.75" x14ac:dyDescent="0.25">
      <c r="A50" s="27" t="s">
        <v>86</v>
      </c>
      <c r="B50" s="29">
        <f>309911272.48/1000</f>
        <v>309911.27248000004</v>
      </c>
      <c r="C50" s="29">
        <f>309933618/1000</f>
        <v>309933.61800000002</v>
      </c>
      <c r="D50" s="151">
        <f>29621186916.43/1000</f>
        <v>29621186.91643</v>
      </c>
      <c r="E50" s="151">
        <f>29621186916.43/1000</f>
        <v>29621186.91643</v>
      </c>
    </row>
    <row r="51" spans="1:6" ht="15.75" x14ac:dyDescent="0.25">
      <c r="A51" s="27" t="s">
        <v>87</v>
      </c>
      <c r="B51" s="29">
        <v>6137415.187407</v>
      </c>
      <c r="C51" s="29">
        <f>(5557969911+105778098)/1000</f>
        <v>5663748.0089999996</v>
      </c>
      <c r="D51" s="151">
        <v>0</v>
      </c>
      <c r="E51" s="151">
        <v>0</v>
      </c>
    </row>
    <row r="52" spans="1:6" ht="15.75" x14ac:dyDescent="0.25">
      <c r="A52" s="27" t="s">
        <v>88</v>
      </c>
      <c r="B52" s="29">
        <f>(344423683)/1000</f>
        <v>344423.68300000002</v>
      </c>
      <c r="C52" s="29">
        <f>(344423683)/1000</f>
        <v>344423.68300000002</v>
      </c>
      <c r="D52" s="151">
        <f>+(979557733.17+41191654655.3933)/1000</f>
        <v>42171212.388563298</v>
      </c>
      <c r="E52" s="151">
        <f>+(979557733.17+53231385978.36)/1000</f>
        <v>54210943.71153</v>
      </c>
    </row>
    <row r="53" spans="1:6" s="212" customFormat="1" ht="15.75" x14ac:dyDescent="0.25">
      <c r="A53" s="26" t="s">
        <v>89</v>
      </c>
      <c r="B53" s="30">
        <f>SUM(B49:B52)</f>
        <v>9080244.642887</v>
      </c>
      <c r="C53" s="30">
        <f>SUM(C49:C52)</f>
        <v>8606599.8099999987</v>
      </c>
      <c r="D53" s="238">
        <f t="shared" ref="D53" si="0">SUM(D49:D52)</f>
        <v>120700099.0549933</v>
      </c>
      <c r="E53" s="238">
        <f t="shared" ref="E53" si="1">SUM(E49:E52)</f>
        <v>132739830.37796</v>
      </c>
      <c r="F53" s="211"/>
    </row>
    <row r="54" spans="1:6" ht="15.75" x14ac:dyDescent="0.25">
      <c r="A54" s="27" t="s">
        <v>90</v>
      </c>
      <c r="B54" s="29"/>
      <c r="C54" s="29"/>
      <c r="D54" s="151"/>
      <c r="E54" s="151"/>
    </row>
    <row r="55" spans="1:6" s="9" customFormat="1" ht="15.75" x14ac:dyDescent="0.25">
      <c r="A55" s="26" t="s">
        <v>91</v>
      </c>
      <c r="B55" s="30">
        <f>+B54+B53</f>
        <v>9080244.642887</v>
      </c>
      <c r="C55" s="30">
        <f>+C54+C53</f>
        <v>8606599.8099999987</v>
      </c>
      <c r="D55" s="238">
        <f>+D54+D53</f>
        <v>120700099.0549933</v>
      </c>
      <c r="E55" s="238">
        <f>+E54+E53</f>
        <v>132739830.37796</v>
      </c>
      <c r="F55" s="146"/>
    </row>
    <row r="56" spans="1:6" s="9" customFormat="1" ht="15.75" x14ac:dyDescent="0.25">
      <c r="A56" s="26" t="s">
        <v>92</v>
      </c>
      <c r="B56" s="30">
        <f>+B55+B47</f>
        <v>32399431.447830003</v>
      </c>
      <c r="C56" s="30">
        <f>+C55+C47</f>
        <v>30971805.960999995</v>
      </c>
      <c r="D56" s="238">
        <f>+D55+D47</f>
        <v>2456145506.7155013</v>
      </c>
      <c r="E56" s="238">
        <f>+E55+E47</f>
        <v>2479680303.8197403</v>
      </c>
      <c r="F56" s="146"/>
    </row>
    <row r="57" spans="1:6" ht="15.75" x14ac:dyDescent="0.25">
      <c r="A57" s="26" t="s">
        <v>93</v>
      </c>
      <c r="B57" s="151">
        <v>1435563.28602</v>
      </c>
      <c r="C57" s="151">
        <f>2081671184/1000</f>
        <v>2081671.1839999999</v>
      </c>
      <c r="D57" s="151">
        <f>511644107232.456/1000</f>
        <v>511644107.23245597</v>
      </c>
      <c r="E57" s="151">
        <f>583664483810.36/1000</f>
        <v>583664483.81035995</v>
      </c>
    </row>
    <row r="58" spans="1:6" ht="15.75" x14ac:dyDescent="0.25">
      <c r="A58" s="26" t="s">
        <v>94</v>
      </c>
      <c r="B58" s="151"/>
      <c r="C58" s="151"/>
      <c r="D58" s="151"/>
      <c r="E58" s="151"/>
    </row>
    <row r="59" spans="1:6" ht="15.75" x14ac:dyDescent="0.25">
      <c r="A59" s="27" t="s">
        <v>95</v>
      </c>
      <c r="B59" s="151">
        <v>19</v>
      </c>
      <c r="C59" s="151">
        <v>22</v>
      </c>
      <c r="D59" s="151">
        <v>27128</v>
      </c>
      <c r="E59" s="151">
        <v>28086</v>
      </c>
      <c r="F59" s="181"/>
    </row>
    <row r="60" spans="1:6" ht="15.75" x14ac:dyDescent="0.25">
      <c r="A60" s="27" t="s">
        <v>96</v>
      </c>
      <c r="B60" s="151">
        <v>1</v>
      </c>
      <c r="C60" s="151">
        <v>2</v>
      </c>
      <c r="D60" s="151">
        <v>3308</v>
      </c>
      <c r="E60" s="151">
        <v>3349</v>
      </c>
      <c r="F60" s="181"/>
    </row>
    <row r="61" spans="1:6" x14ac:dyDescent="0.25">
      <c r="B61" s="8"/>
      <c r="C61" s="8"/>
      <c r="D61" s="243"/>
      <c r="E61" s="8"/>
    </row>
    <row r="62" spans="1:6" ht="15.75" x14ac:dyDescent="0.25">
      <c r="B62" s="7"/>
      <c r="C62" s="14"/>
      <c r="D62" s="244"/>
      <c r="E62" s="14"/>
    </row>
    <row r="63" spans="1:6" ht="15.75" x14ac:dyDescent="0.25">
      <c r="B63" s="7"/>
      <c r="C63" s="14"/>
      <c r="D63" s="244"/>
      <c r="E63" s="14"/>
    </row>
    <row r="64" spans="1:6" ht="15.75" x14ac:dyDescent="0.25">
      <c r="B64" s="7"/>
      <c r="C64" s="14"/>
      <c r="D64" s="244"/>
      <c r="E64" s="14"/>
    </row>
    <row r="65" spans="2:5" ht="15.75" x14ac:dyDescent="0.25">
      <c r="B65" s="7"/>
      <c r="C65" s="14"/>
      <c r="D65" s="244"/>
      <c r="E65" s="14"/>
    </row>
    <row r="66" spans="2:5" x14ac:dyDescent="0.25">
      <c r="B66" s="14"/>
      <c r="C66" s="14"/>
      <c r="D66" s="244"/>
      <c r="E66" s="14"/>
    </row>
    <row r="67" spans="2:5" x14ac:dyDescent="0.25">
      <c r="B67" s="14"/>
      <c r="C67" s="14"/>
      <c r="D67" s="244"/>
      <c r="E67" s="14"/>
    </row>
    <row r="68" spans="2:5" x14ac:dyDescent="0.25">
      <c r="B68" s="14"/>
      <c r="C68" s="14"/>
      <c r="D68" s="244"/>
      <c r="E68" s="14"/>
    </row>
    <row r="69" spans="2:5" x14ac:dyDescent="0.25">
      <c r="B69" s="14"/>
      <c r="C69" s="14"/>
      <c r="D69" s="244"/>
      <c r="E69" s="14"/>
    </row>
    <row r="70" spans="2:5" x14ac:dyDescent="0.25">
      <c r="B70" s="14"/>
      <c r="C70" s="14"/>
      <c r="D70" s="244"/>
      <c r="E70" s="14"/>
    </row>
    <row r="71" spans="2:5" x14ac:dyDescent="0.25">
      <c r="B71" s="14"/>
      <c r="C71" s="14"/>
      <c r="D71" s="244"/>
      <c r="E71" s="14"/>
    </row>
    <row r="72" spans="2:5" x14ac:dyDescent="0.25">
      <c r="B72" s="14"/>
      <c r="C72" s="14"/>
      <c r="D72" s="244"/>
      <c r="E72" s="14"/>
    </row>
    <row r="73" spans="2:5" x14ac:dyDescent="0.25">
      <c r="B73" s="14"/>
      <c r="C73" s="14"/>
      <c r="D73" s="244"/>
      <c r="E73" s="14"/>
    </row>
    <row r="74" spans="2:5" x14ac:dyDescent="0.25">
      <c r="B74" s="14"/>
      <c r="C74" s="14"/>
      <c r="D74" s="244"/>
      <c r="E74" s="14"/>
    </row>
    <row r="75" spans="2:5" x14ac:dyDescent="0.25">
      <c r="B75" s="14"/>
      <c r="C75" s="14"/>
      <c r="D75" s="244"/>
      <c r="E75" s="14"/>
    </row>
  </sheetData>
  <mergeCells count="10">
    <mergeCell ref="A1:E1"/>
    <mergeCell ref="A2:E2"/>
    <mergeCell ref="A4:E4"/>
    <mergeCell ref="E6:E7"/>
    <mergeCell ref="D6:D7"/>
    <mergeCell ref="C6:C7"/>
    <mergeCell ref="B6:B7"/>
    <mergeCell ref="A3:E3"/>
    <mergeCell ref="B5:C5"/>
    <mergeCell ref="D5:E5"/>
  </mergeCells>
  <phoneticPr fontId="0" type="noConversion"/>
  <pageMargins left="0.45" right="0.17" top="0.48" bottom="0.26" header="0.31496062992126" footer="0.17"/>
  <pageSetup paperSize="9" scale="8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workbookViewId="0">
      <selection activeCell="A60" sqref="A60"/>
    </sheetView>
  </sheetViews>
  <sheetFormatPr defaultRowHeight="15" x14ac:dyDescent="0.25"/>
  <cols>
    <col min="1" max="1" width="45.7109375" style="1" customWidth="1"/>
    <col min="2" max="2" width="12.7109375" style="1" bestFit="1" customWidth="1"/>
    <col min="3" max="3" width="11.85546875" style="1" bestFit="1" customWidth="1"/>
    <col min="4" max="4" width="11.5703125" style="1" bestFit="1" customWidth="1"/>
    <col min="5" max="6" width="12.7109375" style="1" bestFit="1" customWidth="1"/>
    <col min="7" max="7" width="14.28515625" style="1" customWidth="1"/>
    <col min="8" max="9" width="14" style="1" bestFit="1" customWidth="1"/>
    <col min="10" max="10" width="11.7109375" style="1" bestFit="1" customWidth="1"/>
    <col min="11" max="11" width="14" style="1" bestFit="1" customWidth="1"/>
    <col min="12" max="16384" width="9.140625" style="1"/>
  </cols>
  <sheetData>
    <row r="1" spans="1:18" ht="15.75" x14ac:dyDescent="0.25">
      <c r="A1" s="276" t="s">
        <v>39</v>
      </c>
      <c r="B1" s="277"/>
      <c r="C1" s="277"/>
      <c r="D1" s="277"/>
      <c r="E1" s="277"/>
      <c r="F1" s="277"/>
      <c r="G1" s="277"/>
      <c r="H1" s="277"/>
      <c r="I1" s="277"/>
      <c r="J1" s="277"/>
      <c r="K1" s="278"/>
    </row>
    <row r="2" spans="1:18" ht="15.75" x14ac:dyDescent="0.25">
      <c r="A2" s="279" t="s">
        <v>97</v>
      </c>
      <c r="B2" s="280"/>
      <c r="C2" s="280"/>
      <c r="D2" s="280"/>
      <c r="E2" s="280"/>
      <c r="F2" s="280"/>
      <c r="G2" s="280"/>
      <c r="H2" s="280"/>
      <c r="I2" s="280"/>
      <c r="J2" s="280"/>
      <c r="K2" s="281"/>
      <c r="L2" s="71"/>
      <c r="M2" s="71"/>
      <c r="N2" s="71"/>
      <c r="O2" s="71"/>
      <c r="P2" s="71"/>
      <c r="Q2" s="71"/>
      <c r="R2" s="71"/>
    </row>
    <row r="3" spans="1:18" ht="15.75" x14ac:dyDescent="0.25">
      <c r="A3" s="279" t="s">
        <v>333</v>
      </c>
      <c r="B3" s="280"/>
      <c r="C3" s="280"/>
      <c r="D3" s="280"/>
      <c r="E3" s="280"/>
      <c r="F3" s="280"/>
      <c r="G3" s="280"/>
      <c r="H3" s="280"/>
      <c r="I3" s="280"/>
      <c r="J3" s="280"/>
      <c r="K3" s="281"/>
      <c r="L3" s="71"/>
      <c r="M3" s="71"/>
      <c r="N3" s="71"/>
      <c r="O3" s="71"/>
      <c r="P3" s="71"/>
      <c r="Q3" s="71"/>
      <c r="R3" s="71"/>
    </row>
    <row r="4" spans="1:18" ht="15.75" x14ac:dyDescent="0.25">
      <c r="A4" s="282"/>
      <c r="B4" s="283"/>
      <c r="C4" s="283"/>
      <c r="D4" s="283"/>
      <c r="E4" s="283"/>
      <c r="F4" s="283"/>
      <c r="G4" s="283"/>
      <c r="H4" s="283"/>
      <c r="I4" s="283"/>
      <c r="J4" s="283"/>
      <c r="K4" s="284"/>
      <c r="L4" s="70"/>
      <c r="M4" s="70"/>
      <c r="N4" s="70"/>
      <c r="O4" s="70"/>
      <c r="P4" s="70"/>
      <c r="Q4" s="70"/>
      <c r="R4" s="70"/>
    </row>
    <row r="5" spans="1:18" ht="37.5" customHeight="1" x14ac:dyDescent="0.25">
      <c r="A5" s="250" t="s">
        <v>34</v>
      </c>
      <c r="B5" s="248"/>
      <c r="C5" s="248"/>
      <c r="D5" s="248"/>
      <c r="E5" s="248"/>
      <c r="F5" s="248"/>
      <c r="G5" s="248"/>
      <c r="H5" s="248"/>
      <c r="I5" s="248"/>
      <c r="J5" s="248"/>
      <c r="K5" s="249"/>
    </row>
    <row r="6" spans="1:18" ht="15.75" x14ac:dyDescent="0.25">
      <c r="A6" s="64"/>
      <c r="B6" s="303" t="s">
        <v>114</v>
      </c>
      <c r="C6" s="304"/>
      <c r="D6" s="305"/>
      <c r="E6" s="303" t="s">
        <v>123</v>
      </c>
      <c r="F6" s="304"/>
      <c r="G6" s="305"/>
      <c r="H6" s="75"/>
      <c r="I6" s="72"/>
      <c r="J6" s="76"/>
      <c r="K6" s="72"/>
    </row>
    <row r="7" spans="1:18" ht="31.5" x14ac:dyDescent="0.25">
      <c r="A7" s="65" t="s">
        <v>250</v>
      </c>
      <c r="B7" s="72" t="s">
        <v>115</v>
      </c>
      <c r="C7" s="72" t="s">
        <v>115</v>
      </c>
      <c r="D7" s="72" t="s">
        <v>119</v>
      </c>
      <c r="E7" s="73" t="s">
        <v>121</v>
      </c>
      <c r="F7" s="73" t="s">
        <v>124</v>
      </c>
      <c r="G7" s="73" t="s">
        <v>126</v>
      </c>
      <c r="H7" s="73" t="s">
        <v>128</v>
      </c>
      <c r="I7" s="73" t="s">
        <v>130</v>
      </c>
      <c r="J7" s="77" t="s">
        <v>245</v>
      </c>
      <c r="K7" s="73" t="s">
        <v>91</v>
      </c>
    </row>
    <row r="8" spans="1:18" ht="15.75" x14ac:dyDescent="0.25">
      <c r="A8" s="66"/>
      <c r="B8" s="73" t="s">
        <v>116</v>
      </c>
      <c r="C8" s="73" t="s">
        <v>118</v>
      </c>
      <c r="D8" s="73" t="s">
        <v>120</v>
      </c>
      <c r="E8" s="73" t="s">
        <v>122</v>
      </c>
      <c r="F8" s="73" t="s">
        <v>125</v>
      </c>
      <c r="G8" s="73" t="s">
        <v>127</v>
      </c>
      <c r="H8" s="73" t="s">
        <v>129</v>
      </c>
      <c r="I8" s="73"/>
      <c r="J8" s="73" t="s">
        <v>131</v>
      </c>
      <c r="K8" s="73"/>
    </row>
    <row r="9" spans="1:18" ht="15.75" x14ac:dyDescent="0.25">
      <c r="A9" s="33"/>
      <c r="B9" s="74" t="s">
        <v>117</v>
      </c>
      <c r="C9" s="74" t="s">
        <v>117</v>
      </c>
      <c r="D9" s="74"/>
      <c r="E9" s="74"/>
      <c r="F9" s="74"/>
      <c r="G9" s="74"/>
      <c r="H9" s="74"/>
      <c r="I9" s="74"/>
      <c r="J9" s="74"/>
      <c r="K9" s="74"/>
    </row>
    <row r="10" spans="1:18" ht="15.75" x14ac:dyDescent="0.25">
      <c r="A10" s="26" t="s">
        <v>330</v>
      </c>
      <c r="B10" s="206">
        <v>0</v>
      </c>
      <c r="C10" s="206">
        <v>0</v>
      </c>
      <c r="D10" s="206">
        <v>2288494.5</v>
      </c>
      <c r="E10" s="207">
        <v>309911.27247999999</v>
      </c>
      <c r="F10" s="206">
        <v>105778.09831249996</v>
      </c>
      <c r="G10" s="206">
        <v>5557545.2824300006</v>
      </c>
      <c r="H10" s="206">
        <v>344423.68306999997</v>
      </c>
      <c r="I10" s="206">
        <f>SUM(B10:H10)</f>
        <v>8606152.8362924997</v>
      </c>
      <c r="J10" s="206">
        <v>0</v>
      </c>
      <c r="K10" s="206">
        <f>SUM(I10:J10)</f>
        <v>8606152.8362924997</v>
      </c>
    </row>
    <row r="11" spans="1:18" ht="15.75" x14ac:dyDescent="0.25">
      <c r="A11" s="61" t="s">
        <v>98</v>
      </c>
      <c r="B11" s="63"/>
      <c r="C11" s="63"/>
      <c r="D11" s="63"/>
      <c r="E11" s="68"/>
      <c r="F11" s="63"/>
      <c r="G11" s="63"/>
      <c r="H11" s="63"/>
      <c r="I11" s="63"/>
      <c r="J11" s="63"/>
      <c r="K11" s="206"/>
    </row>
    <row r="12" spans="1:18" ht="15.75" x14ac:dyDescent="0.25">
      <c r="A12" s="62"/>
      <c r="B12" s="63"/>
      <c r="C12" s="63"/>
      <c r="D12" s="63"/>
      <c r="E12" s="68"/>
      <c r="F12" s="63"/>
      <c r="G12" s="63"/>
      <c r="H12" s="63"/>
      <c r="I12" s="63"/>
      <c r="J12" s="63"/>
      <c r="K12" s="206"/>
    </row>
    <row r="13" spans="1:18" ht="15.75" x14ac:dyDescent="0.25">
      <c r="A13" s="62" t="s">
        <v>99</v>
      </c>
      <c r="B13" s="63">
        <v>0</v>
      </c>
      <c r="C13" s="63">
        <v>0</v>
      </c>
      <c r="D13" s="63">
        <v>0</v>
      </c>
      <c r="E13" s="68">
        <v>0</v>
      </c>
      <c r="F13" s="63">
        <v>0</v>
      </c>
      <c r="G13" s="63">
        <v>320696.32780999999</v>
      </c>
      <c r="H13" s="63">
        <v>0</v>
      </c>
      <c r="I13" s="206">
        <f>SUM(B13:H13)</f>
        <v>320696.32780999999</v>
      </c>
      <c r="J13" s="63"/>
      <c r="K13" s="206">
        <f>+J13+I13</f>
        <v>320696.32780999999</v>
      </c>
    </row>
    <row r="14" spans="1:18" ht="15.75" x14ac:dyDescent="0.25">
      <c r="A14" s="62" t="s">
        <v>100</v>
      </c>
      <c r="B14" s="63">
        <v>0</v>
      </c>
      <c r="C14" s="63">
        <v>0</v>
      </c>
      <c r="D14" s="63">
        <v>0</v>
      </c>
      <c r="E14" s="68">
        <v>0</v>
      </c>
      <c r="F14" s="63">
        <v>153395.70939</v>
      </c>
      <c r="G14" s="63">
        <v>0</v>
      </c>
      <c r="H14" s="63">
        <v>0</v>
      </c>
      <c r="I14" s="206">
        <f>SUM(B14:H14)</f>
        <v>153395.70939</v>
      </c>
      <c r="J14" s="63"/>
      <c r="K14" s="206">
        <f>+J14+I14</f>
        <v>153395.70939</v>
      </c>
    </row>
    <row r="15" spans="1:18" ht="15.75" x14ac:dyDescent="0.25">
      <c r="A15" s="26" t="s">
        <v>98</v>
      </c>
      <c r="B15" s="30">
        <f>+B11+B13+B14</f>
        <v>0</v>
      </c>
      <c r="C15" s="30">
        <f>+C11+C13+C14</f>
        <v>0</v>
      </c>
      <c r="D15" s="30">
        <f>D10</f>
        <v>2288494.5</v>
      </c>
      <c r="E15" s="247">
        <f>E10</f>
        <v>309911.27247999999</v>
      </c>
      <c r="F15" s="30">
        <f>+F10+F13+F14</f>
        <v>259173.80770249997</v>
      </c>
      <c r="G15" s="30">
        <f>+G10+G13</f>
        <v>5878241.6102400003</v>
      </c>
      <c r="H15" s="30">
        <f>H10+H14</f>
        <v>344423.68306999997</v>
      </c>
      <c r="I15" s="30">
        <f>SUM(B15:H15)</f>
        <v>9080244.8734924998</v>
      </c>
      <c r="J15" s="30">
        <f>+J11+J13+J14</f>
        <v>0</v>
      </c>
      <c r="K15" s="30">
        <f>I15</f>
        <v>9080244.8734924998</v>
      </c>
    </row>
    <row r="16" spans="1:18" ht="15.75" x14ac:dyDescent="0.25">
      <c r="A16" s="5"/>
      <c r="B16" s="29"/>
      <c r="C16" s="29"/>
      <c r="D16" s="29"/>
      <c r="E16" s="29"/>
      <c r="F16" s="29"/>
      <c r="G16" s="29"/>
      <c r="H16" s="29"/>
      <c r="I16" s="29"/>
      <c r="J16" s="29"/>
      <c r="K16" s="30"/>
    </row>
    <row r="17" spans="1:11" ht="15.75" x14ac:dyDescent="0.25">
      <c r="A17" s="26" t="s">
        <v>101</v>
      </c>
      <c r="B17" s="29"/>
      <c r="C17" s="29"/>
      <c r="D17" s="29"/>
      <c r="E17" s="69"/>
      <c r="F17" s="29"/>
      <c r="G17" s="29"/>
      <c r="H17" s="29"/>
      <c r="I17" s="29"/>
      <c r="J17" s="29"/>
      <c r="K17" s="30"/>
    </row>
    <row r="18" spans="1:11" ht="15.75" x14ac:dyDescent="0.25">
      <c r="A18" s="26" t="s">
        <v>102</v>
      </c>
      <c r="B18" s="29"/>
      <c r="C18" s="29"/>
      <c r="D18" s="29"/>
      <c r="E18" s="69"/>
      <c r="F18" s="29"/>
      <c r="G18" s="29"/>
      <c r="H18" s="29"/>
      <c r="I18" s="29"/>
      <c r="J18" s="29"/>
      <c r="K18" s="30"/>
    </row>
    <row r="19" spans="1:11" ht="15.75" x14ac:dyDescent="0.25">
      <c r="A19" s="27" t="s">
        <v>103</v>
      </c>
      <c r="B19" s="29">
        <v>0</v>
      </c>
      <c r="C19" s="29">
        <v>0</v>
      </c>
      <c r="D19" s="29">
        <v>0</v>
      </c>
      <c r="E19" s="69">
        <v>0</v>
      </c>
      <c r="F19" s="29">
        <v>0</v>
      </c>
      <c r="G19" s="29">
        <v>0</v>
      </c>
      <c r="H19" s="29">
        <v>0</v>
      </c>
      <c r="I19" s="29">
        <v>0</v>
      </c>
      <c r="J19" s="29">
        <v>0</v>
      </c>
      <c r="K19" s="30">
        <f>SUM(B19:J19)</f>
        <v>0</v>
      </c>
    </row>
    <row r="20" spans="1:11" ht="15.75" x14ac:dyDescent="0.25">
      <c r="A20" s="27" t="s">
        <v>104</v>
      </c>
      <c r="B20" s="29">
        <v>0</v>
      </c>
      <c r="C20" s="29">
        <v>0</v>
      </c>
      <c r="D20" s="29">
        <v>0</v>
      </c>
      <c r="E20" s="69">
        <v>0</v>
      </c>
      <c r="F20" s="29">
        <v>0</v>
      </c>
      <c r="G20" s="29">
        <v>0</v>
      </c>
      <c r="H20" s="29">
        <v>0</v>
      </c>
      <c r="I20" s="29">
        <v>0</v>
      </c>
      <c r="J20" s="29">
        <v>0</v>
      </c>
      <c r="K20" s="30">
        <f t="shared" ref="K20:K29" si="0">SUM(B20:J20)</f>
        <v>0</v>
      </c>
    </row>
    <row r="21" spans="1:11" ht="15.75" x14ac:dyDescent="0.25">
      <c r="A21" s="27" t="s">
        <v>105</v>
      </c>
      <c r="B21" s="29">
        <v>0</v>
      </c>
      <c r="C21" s="29">
        <v>0</v>
      </c>
      <c r="D21" s="29">
        <v>0</v>
      </c>
      <c r="E21" s="69">
        <v>0</v>
      </c>
      <c r="F21" s="29">
        <v>0</v>
      </c>
      <c r="G21" s="29">
        <v>0</v>
      </c>
      <c r="H21" s="29">
        <v>0</v>
      </c>
      <c r="I21" s="29">
        <v>0</v>
      </c>
      <c r="J21" s="29">
        <v>0</v>
      </c>
      <c r="K21" s="30">
        <f t="shared" si="0"/>
        <v>0</v>
      </c>
    </row>
    <row r="22" spans="1:11" ht="15.75" x14ac:dyDescent="0.25">
      <c r="A22" s="27" t="s">
        <v>106</v>
      </c>
      <c r="B22" s="29">
        <v>0</v>
      </c>
      <c r="C22" s="29">
        <v>0</v>
      </c>
      <c r="D22" s="29">
        <v>0</v>
      </c>
      <c r="E22" s="69">
        <v>0</v>
      </c>
      <c r="F22" s="29">
        <v>0</v>
      </c>
      <c r="G22" s="29">
        <v>0</v>
      </c>
      <c r="H22" s="29">
        <v>0</v>
      </c>
      <c r="I22" s="29">
        <v>0</v>
      </c>
      <c r="J22" s="29">
        <v>0</v>
      </c>
      <c r="K22" s="30">
        <f t="shared" si="0"/>
        <v>0</v>
      </c>
    </row>
    <row r="23" spans="1:11" ht="15.75" x14ac:dyDescent="0.25">
      <c r="A23" s="27" t="s">
        <v>107</v>
      </c>
      <c r="B23" s="29">
        <v>0</v>
      </c>
      <c r="C23" s="29">
        <v>0</v>
      </c>
      <c r="D23" s="29">
        <v>0</v>
      </c>
      <c r="E23" s="69">
        <v>0</v>
      </c>
      <c r="F23" s="29">
        <v>0</v>
      </c>
      <c r="G23" s="29">
        <f>-E23</f>
        <v>0</v>
      </c>
      <c r="H23" s="29">
        <v>0</v>
      </c>
      <c r="I23" s="29">
        <f>SUM(B23:H23)</f>
        <v>0</v>
      </c>
      <c r="J23" s="29"/>
      <c r="K23" s="30">
        <f t="shared" si="0"/>
        <v>0</v>
      </c>
    </row>
    <row r="24" spans="1:11" ht="15.75" x14ac:dyDescent="0.25">
      <c r="A24" s="27" t="s">
        <v>108</v>
      </c>
      <c r="B24" s="29">
        <v>0</v>
      </c>
      <c r="C24" s="29">
        <v>0</v>
      </c>
      <c r="D24" s="29">
        <v>0</v>
      </c>
      <c r="E24" s="69">
        <v>0</v>
      </c>
      <c r="F24" s="29">
        <v>0</v>
      </c>
      <c r="G24" s="29">
        <v>0</v>
      </c>
      <c r="H24" s="29">
        <v>0</v>
      </c>
      <c r="I24" s="29">
        <v>0</v>
      </c>
      <c r="J24" s="29">
        <v>0</v>
      </c>
      <c r="K24" s="30">
        <f t="shared" si="0"/>
        <v>0</v>
      </c>
    </row>
    <row r="25" spans="1:11" ht="15.75" x14ac:dyDescent="0.25">
      <c r="A25" s="27" t="s">
        <v>109</v>
      </c>
      <c r="B25" s="29">
        <v>0</v>
      </c>
      <c r="C25" s="29">
        <v>0</v>
      </c>
      <c r="D25" s="29">
        <v>0</v>
      </c>
      <c r="E25" s="69">
        <v>0</v>
      </c>
      <c r="F25" s="29">
        <v>0</v>
      </c>
      <c r="G25" s="29">
        <v>0</v>
      </c>
      <c r="H25" s="29">
        <v>0</v>
      </c>
      <c r="I25" s="29">
        <v>0</v>
      </c>
      <c r="J25" s="29">
        <v>0</v>
      </c>
      <c r="K25" s="30">
        <f t="shared" si="0"/>
        <v>0</v>
      </c>
    </row>
    <row r="26" spans="1:11" ht="15.75" x14ac:dyDescent="0.25">
      <c r="A26" s="27" t="s">
        <v>110</v>
      </c>
      <c r="B26" s="29">
        <v>0</v>
      </c>
      <c r="C26" s="29">
        <v>0</v>
      </c>
      <c r="D26" s="29">
        <v>0</v>
      </c>
      <c r="E26" s="69">
        <v>0</v>
      </c>
      <c r="F26" s="29">
        <v>0</v>
      </c>
      <c r="G26" s="29">
        <v>0</v>
      </c>
      <c r="H26" s="29">
        <v>0</v>
      </c>
      <c r="I26" s="29">
        <v>0</v>
      </c>
      <c r="J26" s="29">
        <v>0</v>
      </c>
      <c r="K26" s="30">
        <f t="shared" si="0"/>
        <v>0</v>
      </c>
    </row>
    <row r="27" spans="1:11" ht="15.75" x14ac:dyDescent="0.25">
      <c r="A27" s="27" t="s">
        <v>111</v>
      </c>
      <c r="B27" s="29">
        <v>0</v>
      </c>
      <c r="C27" s="29">
        <v>0</v>
      </c>
      <c r="D27" s="29">
        <v>0</v>
      </c>
      <c r="E27" s="69">
        <v>0</v>
      </c>
      <c r="F27" s="29">
        <v>0</v>
      </c>
      <c r="G27" s="29">
        <v>0</v>
      </c>
      <c r="H27" s="29">
        <v>0</v>
      </c>
      <c r="I27" s="29">
        <v>0</v>
      </c>
      <c r="J27" s="29">
        <v>0</v>
      </c>
      <c r="K27" s="30">
        <f t="shared" si="0"/>
        <v>0</v>
      </c>
    </row>
    <row r="28" spans="1:11" ht="15.75" x14ac:dyDescent="0.25">
      <c r="A28" s="6" t="s">
        <v>112</v>
      </c>
      <c r="B28" s="29">
        <v>0</v>
      </c>
      <c r="C28" s="29">
        <v>0</v>
      </c>
      <c r="D28" s="29">
        <v>0</v>
      </c>
      <c r="E28" s="69">
        <v>0</v>
      </c>
      <c r="F28" s="29">
        <v>0</v>
      </c>
      <c r="G28" s="29">
        <v>0</v>
      </c>
      <c r="H28" s="29">
        <v>0</v>
      </c>
      <c r="I28" s="29">
        <v>0</v>
      </c>
      <c r="J28" s="29">
        <v>0</v>
      </c>
      <c r="K28" s="30">
        <f t="shared" si="0"/>
        <v>0</v>
      </c>
    </row>
    <row r="29" spans="1:11" ht="15.75" x14ac:dyDescent="0.25">
      <c r="A29" s="26" t="s">
        <v>113</v>
      </c>
      <c r="B29" s="29">
        <v>0</v>
      </c>
      <c r="C29" s="29">
        <v>0</v>
      </c>
      <c r="D29" s="29">
        <v>0</v>
      </c>
      <c r="E29" s="69">
        <v>0</v>
      </c>
      <c r="F29" s="29">
        <v>0</v>
      </c>
      <c r="G29" s="29">
        <v>0</v>
      </c>
      <c r="H29" s="29">
        <v>0</v>
      </c>
      <c r="I29" s="29">
        <v>0</v>
      </c>
      <c r="J29" s="29">
        <v>0</v>
      </c>
      <c r="K29" s="30">
        <f t="shared" si="0"/>
        <v>0</v>
      </c>
    </row>
    <row r="30" spans="1:11" ht="15.75" x14ac:dyDescent="0.25">
      <c r="A30" s="26" t="s">
        <v>341</v>
      </c>
      <c r="B30" s="30">
        <f>+B15</f>
        <v>0</v>
      </c>
      <c r="C30" s="30">
        <f>+C15</f>
        <v>0</v>
      </c>
      <c r="D30" s="30">
        <f>SUM(D15:D29)</f>
        <v>2288494.5</v>
      </c>
      <c r="E30" s="30">
        <f t="shared" ref="E30:K30" si="1">SUM(E15:E29)</f>
        <v>309911.27247999999</v>
      </c>
      <c r="F30" s="30">
        <f t="shared" si="1"/>
        <v>259173.80770249997</v>
      </c>
      <c r="G30" s="30">
        <f>SUM(G15:G29)</f>
        <v>5878241.6102400003</v>
      </c>
      <c r="H30" s="30">
        <f t="shared" si="1"/>
        <v>344423.68306999997</v>
      </c>
      <c r="I30" s="30">
        <f>SUM(I15:I29)</f>
        <v>9080244.8734924998</v>
      </c>
      <c r="J30" s="30">
        <f t="shared" si="1"/>
        <v>0</v>
      </c>
      <c r="K30" s="30">
        <f t="shared" si="1"/>
        <v>9080244.8734924998</v>
      </c>
    </row>
    <row r="31" spans="1:11" s="78" customFormat="1" ht="15.75" x14ac:dyDescent="0.25">
      <c r="A31" s="65"/>
      <c r="B31" s="95"/>
      <c r="C31" s="95"/>
      <c r="D31" s="95"/>
      <c r="E31" s="95"/>
      <c r="F31" s="95"/>
      <c r="G31" s="95"/>
      <c r="H31" s="95"/>
      <c r="I31" s="95"/>
      <c r="J31" s="95"/>
      <c r="K31" s="95"/>
    </row>
    <row r="32" spans="1:11" s="78" customFormat="1" ht="15.75" x14ac:dyDescent="0.25">
      <c r="A32" s="65"/>
      <c r="B32" s="95"/>
      <c r="C32" s="95"/>
      <c r="D32" s="95"/>
      <c r="E32" s="95"/>
      <c r="F32" s="95"/>
      <c r="G32" s="95"/>
      <c r="H32" s="95"/>
      <c r="I32" s="95"/>
      <c r="J32" s="95"/>
      <c r="K32" s="95"/>
    </row>
    <row r="33" spans="1:11" s="78" customFormat="1" x14ac:dyDescent="0.25">
      <c r="B33" s="79"/>
      <c r="C33" s="79"/>
      <c r="D33" s="79"/>
      <c r="E33" s="79"/>
      <c r="F33" s="79"/>
      <c r="G33" s="79"/>
      <c r="H33" s="79"/>
      <c r="I33" s="79"/>
      <c r="J33" s="79"/>
      <c r="K33" s="79"/>
    </row>
    <row r="34" spans="1:11" ht="15.75" x14ac:dyDescent="0.25">
      <c r="A34" s="306" t="s">
        <v>184</v>
      </c>
      <c r="B34" s="254"/>
      <c r="C34" s="254"/>
      <c r="D34" s="254"/>
      <c r="E34" s="254"/>
      <c r="F34" s="254"/>
      <c r="G34" s="254"/>
      <c r="H34" s="254"/>
      <c r="I34" s="254"/>
      <c r="J34" s="254"/>
      <c r="K34" s="255"/>
    </row>
    <row r="35" spans="1:11" ht="22.5" customHeight="1" x14ac:dyDescent="0.25">
      <c r="A35" s="307"/>
      <c r="B35" s="256"/>
      <c r="C35" s="256"/>
      <c r="D35" s="256"/>
      <c r="E35" s="256"/>
      <c r="F35" s="256"/>
      <c r="G35" s="256"/>
      <c r="H35" s="256"/>
      <c r="I35" s="256"/>
      <c r="J35" s="256"/>
      <c r="K35" s="257"/>
    </row>
    <row r="36" spans="1:11" ht="15.75" x14ac:dyDescent="0.25">
      <c r="A36" s="64"/>
      <c r="B36" s="300" t="s">
        <v>114</v>
      </c>
      <c r="C36" s="301"/>
      <c r="D36" s="302"/>
      <c r="E36" s="300" t="s">
        <v>123</v>
      </c>
      <c r="F36" s="301"/>
      <c r="G36" s="302"/>
      <c r="H36" s="75"/>
      <c r="I36" s="72"/>
      <c r="J36" s="76"/>
      <c r="K36" s="72"/>
    </row>
    <row r="37" spans="1:11" ht="31.5" x14ac:dyDescent="0.25">
      <c r="A37" s="209" t="s">
        <v>318</v>
      </c>
      <c r="B37" s="72" t="s">
        <v>115</v>
      </c>
      <c r="C37" s="72" t="s">
        <v>115</v>
      </c>
      <c r="D37" s="72" t="s">
        <v>119</v>
      </c>
      <c r="E37" s="73" t="s">
        <v>121</v>
      </c>
      <c r="F37" s="73" t="s">
        <v>124</v>
      </c>
      <c r="G37" s="73" t="s">
        <v>126</v>
      </c>
      <c r="H37" s="73" t="s">
        <v>128</v>
      </c>
      <c r="I37" s="73" t="s">
        <v>130</v>
      </c>
      <c r="J37" s="77" t="s">
        <v>245</v>
      </c>
      <c r="K37" s="73" t="s">
        <v>91</v>
      </c>
    </row>
    <row r="38" spans="1:11" ht="15.75" x14ac:dyDescent="0.25">
      <c r="A38" s="66"/>
      <c r="B38" s="73" t="s">
        <v>116</v>
      </c>
      <c r="C38" s="73" t="s">
        <v>118</v>
      </c>
      <c r="D38" s="73" t="s">
        <v>120</v>
      </c>
      <c r="E38" s="73" t="s">
        <v>122</v>
      </c>
      <c r="F38" s="73" t="s">
        <v>125</v>
      </c>
      <c r="G38" s="73" t="s">
        <v>127</v>
      </c>
      <c r="H38" s="73" t="s">
        <v>129</v>
      </c>
      <c r="I38" s="73"/>
      <c r="J38" s="73" t="s">
        <v>131</v>
      </c>
      <c r="K38" s="73"/>
    </row>
    <row r="39" spans="1:11" ht="15.75" x14ac:dyDescent="0.25">
      <c r="A39" s="33"/>
      <c r="B39" s="74" t="s">
        <v>117</v>
      </c>
      <c r="C39" s="74" t="s">
        <v>117</v>
      </c>
      <c r="D39" s="74"/>
      <c r="E39" s="74"/>
      <c r="F39" s="74"/>
      <c r="G39" s="74"/>
      <c r="H39" s="74"/>
      <c r="I39" s="74"/>
      <c r="J39" s="74"/>
      <c r="K39" s="74"/>
    </row>
    <row r="40" spans="1:11" s="9" customFormat="1" ht="15.75" x14ac:dyDescent="0.25">
      <c r="A40" s="26" t="s">
        <v>330</v>
      </c>
      <c r="B40" s="169">
        <v>48907700</v>
      </c>
      <c r="C40" s="169">
        <v>0</v>
      </c>
      <c r="D40" s="169">
        <v>0</v>
      </c>
      <c r="E40" s="169">
        <v>29621187</v>
      </c>
      <c r="F40" s="169">
        <v>21032595</v>
      </c>
      <c r="G40" s="169">
        <v>-63736968.873999998</v>
      </c>
      <c r="H40" s="169">
        <f>40290761+42516148+14108409</f>
        <v>96915318</v>
      </c>
      <c r="I40" s="169">
        <v>132739829.861</v>
      </c>
      <c r="J40" s="169">
        <v>0</v>
      </c>
      <c r="K40" s="169">
        <v>132739829.861</v>
      </c>
    </row>
    <row r="41" spans="1:11" s="9" customFormat="1" ht="15.75" x14ac:dyDescent="0.25">
      <c r="A41" s="26" t="s">
        <v>98</v>
      </c>
      <c r="B41" s="169"/>
      <c r="C41" s="169"/>
      <c r="D41" s="169"/>
      <c r="E41" s="169"/>
      <c r="F41" s="169"/>
      <c r="G41" s="169"/>
      <c r="H41" s="169"/>
      <c r="I41" s="169"/>
      <c r="J41" s="169"/>
      <c r="K41" s="169"/>
    </row>
    <row r="42" spans="1:11" ht="15.75" x14ac:dyDescent="0.25">
      <c r="A42" s="27"/>
      <c r="B42" s="154"/>
      <c r="C42" s="154"/>
      <c r="D42" s="154"/>
      <c r="E42" s="154"/>
      <c r="F42" s="154"/>
      <c r="G42" s="154"/>
      <c r="H42" s="154"/>
      <c r="I42" s="169">
        <f>SUM(B42:H42)</f>
        <v>0</v>
      </c>
      <c r="J42" s="154"/>
      <c r="K42" s="154">
        <f>+J42+I42</f>
        <v>0</v>
      </c>
    </row>
    <row r="43" spans="1:11" ht="15.75" x14ac:dyDescent="0.25">
      <c r="A43" s="27" t="s">
        <v>99</v>
      </c>
      <c r="B43" s="154">
        <v>0</v>
      </c>
      <c r="C43" s="154">
        <v>0</v>
      </c>
      <c r="D43" s="154">
        <v>0</v>
      </c>
      <c r="E43" s="154">
        <v>0</v>
      </c>
      <c r="F43" s="154">
        <v>0</v>
      </c>
      <c r="G43" s="154">
        <v>-14067033.126</v>
      </c>
      <c r="H43" s="154">
        <v>0</v>
      </c>
      <c r="I43" s="169">
        <f>SUM(B43:H43)</f>
        <v>-14067033.126</v>
      </c>
      <c r="J43" s="154">
        <v>0</v>
      </c>
      <c r="K43" s="154">
        <f>+J43+I43</f>
        <v>-14067033.126</v>
      </c>
    </row>
    <row r="44" spans="1:11" ht="15.75" x14ac:dyDescent="0.25">
      <c r="A44" s="27" t="s">
        <v>100</v>
      </c>
      <c r="B44" s="154">
        <v>0</v>
      </c>
      <c r="C44" s="154">
        <v>0</v>
      </c>
      <c r="D44" s="154">
        <v>0</v>
      </c>
      <c r="E44" s="154">
        <v>0</v>
      </c>
      <c r="F44" s="154">
        <v>0</v>
      </c>
      <c r="G44" s="154">
        <v>0</v>
      </c>
      <c r="H44" s="154">
        <v>0</v>
      </c>
      <c r="I44" s="169">
        <f>SUM(B44:H44)</f>
        <v>0</v>
      </c>
      <c r="J44" s="154">
        <v>0</v>
      </c>
      <c r="K44" s="154">
        <f>+J44+I44</f>
        <v>0</v>
      </c>
    </row>
    <row r="45" spans="1:11" s="9" customFormat="1" ht="15.75" x14ac:dyDescent="0.25">
      <c r="A45" s="26" t="s">
        <v>98</v>
      </c>
      <c r="B45" s="169">
        <f>B40</f>
        <v>48907700</v>
      </c>
      <c r="C45" s="169">
        <f>+C41+C43+C44</f>
        <v>0</v>
      </c>
      <c r="D45" s="169">
        <f>+D41+D43+D44</f>
        <v>0</v>
      </c>
      <c r="E45" s="169">
        <f>E40</f>
        <v>29621187</v>
      </c>
      <c r="F45" s="169">
        <f>F40</f>
        <v>21032595</v>
      </c>
      <c r="G45" s="169">
        <f>SUM(G40:G44)</f>
        <v>-77804002</v>
      </c>
      <c r="H45" s="169">
        <f>H40</f>
        <v>96915318</v>
      </c>
      <c r="I45" s="169">
        <f>SUM(B45:H45)</f>
        <v>118672798</v>
      </c>
      <c r="J45" s="169">
        <f>+J41+J43+J44</f>
        <v>0</v>
      </c>
      <c r="K45" s="169">
        <f>+J45+I45</f>
        <v>118672798</v>
      </c>
    </row>
    <row r="46" spans="1:11" ht="15.75" x14ac:dyDescent="0.25">
      <c r="A46" s="27"/>
      <c r="B46" s="154"/>
      <c r="C46" s="154"/>
      <c r="D46" s="154"/>
      <c r="E46" s="154"/>
      <c r="F46" s="154"/>
      <c r="G46" s="154"/>
      <c r="H46" s="154"/>
      <c r="I46" s="154"/>
      <c r="J46" s="154"/>
      <c r="K46" s="154"/>
    </row>
    <row r="47" spans="1:11" s="9" customFormat="1" ht="15.75" x14ac:dyDescent="0.25">
      <c r="A47" s="26" t="s">
        <v>101</v>
      </c>
      <c r="B47" s="169"/>
      <c r="C47" s="169"/>
      <c r="D47" s="169"/>
      <c r="E47" s="169"/>
      <c r="F47" s="169"/>
      <c r="G47" s="169"/>
      <c r="H47" s="169"/>
      <c r="I47" s="169"/>
      <c r="J47" s="169"/>
      <c r="K47" s="169"/>
    </row>
    <row r="48" spans="1:11" s="9" customFormat="1" ht="15.75" x14ac:dyDescent="0.25">
      <c r="A48" s="26" t="s">
        <v>102</v>
      </c>
      <c r="B48" s="169"/>
      <c r="C48" s="169"/>
      <c r="D48" s="169"/>
      <c r="E48" s="169"/>
      <c r="F48" s="169"/>
      <c r="G48" s="169"/>
      <c r="H48" s="169"/>
      <c r="I48" s="169"/>
      <c r="J48" s="169"/>
      <c r="K48" s="169"/>
    </row>
    <row r="49" spans="1:12" ht="15.75" x14ac:dyDescent="0.25">
      <c r="A49" s="27" t="s">
        <v>103</v>
      </c>
      <c r="B49" s="154">
        <v>0</v>
      </c>
      <c r="C49" s="154">
        <v>0</v>
      </c>
      <c r="D49" s="154">
        <v>0</v>
      </c>
      <c r="E49" s="154">
        <v>0</v>
      </c>
      <c r="F49" s="154">
        <v>0</v>
      </c>
      <c r="G49" s="154">
        <v>0</v>
      </c>
      <c r="H49" s="154">
        <v>0</v>
      </c>
      <c r="I49" s="169">
        <f>SUM(B49:H49)</f>
        <v>0</v>
      </c>
      <c r="J49" s="154">
        <v>0</v>
      </c>
      <c r="K49" s="169">
        <f>+J49+I49</f>
        <v>0</v>
      </c>
    </row>
    <row r="50" spans="1:12" s="10" customFormat="1" ht="15.75" x14ac:dyDescent="0.25">
      <c r="A50" s="27" t="s">
        <v>104</v>
      </c>
      <c r="B50" s="154">
        <v>0</v>
      </c>
      <c r="C50" s="154">
        <v>0</v>
      </c>
      <c r="D50" s="154">
        <v>0</v>
      </c>
      <c r="E50" s="154">
        <v>0</v>
      </c>
      <c r="F50" s="154">
        <v>0</v>
      </c>
      <c r="G50" s="154">
        <v>0</v>
      </c>
      <c r="H50" s="154">
        <v>0</v>
      </c>
      <c r="I50" s="169">
        <f t="shared" ref="I50:I58" si="2">SUM(B50:H50)</f>
        <v>0</v>
      </c>
      <c r="J50" s="154">
        <v>0</v>
      </c>
      <c r="K50" s="169">
        <f t="shared" ref="K50:K58" si="3">+J50+I50</f>
        <v>0</v>
      </c>
    </row>
    <row r="51" spans="1:12" ht="15.75" x14ac:dyDescent="0.25">
      <c r="A51" s="27" t="s">
        <v>105</v>
      </c>
      <c r="B51" s="154">
        <v>0</v>
      </c>
      <c r="C51" s="154">
        <v>0</v>
      </c>
      <c r="D51" s="154">
        <v>0</v>
      </c>
      <c r="E51" s="154">
        <v>0</v>
      </c>
      <c r="F51" s="154">
        <v>0</v>
      </c>
      <c r="G51" s="154">
        <v>0</v>
      </c>
      <c r="H51" s="154">
        <v>0</v>
      </c>
      <c r="I51" s="169">
        <f t="shared" si="2"/>
        <v>0</v>
      </c>
      <c r="J51" s="154">
        <v>0</v>
      </c>
      <c r="K51" s="169">
        <f t="shared" si="3"/>
        <v>0</v>
      </c>
    </row>
    <row r="52" spans="1:12" ht="15.75" x14ac:dyDescent="0.25">
      <c r="A52" s="27" t="s">
        <v>106</v>
      </c>
      <c r="B52" s="154">
        <v>0</v>
      </c>
      <c r="C52" s="154">
        <v>0</v>
      </c>
      <c r="D52" s="154">
        <v>0</v>
      </c>
      <c r="E52" s="154">
        <v>0</v>
      </c>
      <c r="F52" s="154">
        <v>0</v>
      </c>
      <c r="G52" s="154">
        <v>0</v>
      </c>
      <c r="H52" s="154">
        <v>0</v>
      </c>
      <c r="I52" s="169">
        <f t="shared" si="2"/>
        <v>0</v>
      </c>
      <c r="J52" s="154">
        <v>0</v>
      </c>
      <c r="K52" s="169">
        <f t="shared" si="3"/>
        <v>0</v>
      </c>
    </row>
    <row r="53" spans="1:12" ht="15.75" x14ac:dyDescent="0.25">
      <c r="A53" s="27" t="s">
        <v>107</v>
      </c>
      <c r="B53" s="154">
        <v>0</v>
      </c>
      <c r="C53" s="154">
        <v>0</v>
      </c>
      <c r="D53" s="154">
        <v>0</v>
      </c>
      <c r="E53" s="154">
        <v>0</v>
      </c>
      <c r="F53" s="154">
        <v>0</v>
      </c>
      <c r="G53" s="154">
        <v>0</v>
      </c>
      <c r="H53" s="154">
        <v>2141760</v>
      </c>
      <c r="I53" s="169">
        <f t="shared" si="2"/>
        <v>2141760</v>
      </c>
      <c r="J53" s="154">
        <v>0</v>
      </c>
      <c r="K53" s="169">
        <f t="shared" si="3"/>
        <v>2141760</v>
      </c>
    </row>
    <row r="54" spans="1:12" ht="15.75" x14ac:dyDescent="0.25">
      <c r="A54" s="27" t="s">
        <v>108</v>
      </c>
      <c r="B54" s="154">
        <v>0</v>
      </c>
      <c r="C54" s="154">
        <v>0</v>
      </c>
      <c r="D54" s="154">
        <v>0</v>
      </c>
      <c r="E54" s="154">
        <v>0</v>
      </c>
      <c r="F54" s="154">
        <v>0</v>
      </c>
      <c r="G54" s="154">
        <v>0</v>
      </c>
      <c r="H54" s="154">
        <v>0</v>
      </c>
      <c r="I54" s="169">
        <f t="shared" si="2"/>
        <v>0</v>
      </c>
      <c r="J54" s="154">
        <v>0</v>
      </c>
      <c r="K54" s="169">
        <f t="shared" si="3"/>
        <v>0</v>
      </c>
    </row>
    <row r="55" spans="1:12" ht="15.75" x14ac:dyDescent="0.25">
      <c r="A55" s="27" t="s">
        <v>109</v>
      </c>
      <c r="B55" s="154">
        <v>0</v>
      </c>
      <c r="C55" s="154">
        <v>0</v>
      </c>
      <c r="D55" s="154">
        <v>0</v>
      </c>
      <c r="E55" s="154">
        <v>0</v>
      </c>
      <c r="F55" s="154">
        <v>0</v>
      </c>
      <c r="G55" s="154">
        <v>0</v>
      </c>
      <c r="H55" s="154">
        <v>0</v>
      </c>
      <c r="I55" s="169">
        <f t="shared" si="2"/>
        <v>0</v>
      </c>
      <c r="J55" s="154">
        <v>0</v>
      </c>
      <c r="K55" s="169">
        <f t="shared" si="3"/>
        <v>0</v>
      </c>
    </row>
    <row r="56" spans="1:12" ht="15.75" x14ac:dyDescent="0.25">
      <c r="A56" s="27" t="s">
        <v>110</v>
      </c>
      <c r="B56" s="154">
        <v>0</v>
      </c>
      <c r="C56" s="154">
        <v>0</v>
      </c>
      <c r="D56" s="154">
        <v>0</v>
      </c>
      <c r="E56" s="154">
        <v>0</v>
      </c>
      <c r="F56" s="154">
        <v>-115607</v>
      </c>
      <c r="G56" s="154">
        <v>0</v>
      </c>
      <c r="H56" s="154">
        <v>0</v>
      </c>
      <c r="I56" s="169">
        <f t="shared" si="2"/>
        <v>-115607</v>
      </c>
      <c r="J56" s="154">
        <v>0</v>
      </c>
      <c r="K56" s="169">
        <f t="shared" si="3"/>
        <v>-115607</v>
      </c>
    </row>
    <row r="57" spans="1:12" ht="15.75" x14ac:dyDescent="0.25">
      <c r="A57" s="27" t="s">
        <v>111</v>
      </c>
      <c r="B57" s="154">
        <v>0</v>
      </c>
      <c r="C57" s="154">
        <v>0</v>
      </c>
      <c r="D57" s="154">
        <v>0</v>
      </c>
      <c r="E57" s="154">
        <v>0</v>
      </c>
      <c r="F57" s="154">
        <v>0</v>
      </c>
      <c r="G57" s="154">
        <v>0</v>
      </c>
      <c r="H57" s="154">
        <v>0</v>
      </c>
      <c r="I57" s="169">
        <f t="shared" si="2"/>
        <v>0</v>
      </c>
      <c r="J57" s="154">
        <v>0</v>
      </c>
      <c r="K57" s="169">
        <f t="shared" si="3"/>
        <v>0</v>
      </c>
    </row>
    <row r="58" spans="1:12" ht="15.75" x14ac:dyDescent="0.25">
      <c r="A58" s="27" t="s">
        <v>112</v>
      </c>
      <c r="B58" s="154">
        <v>0</v>
      </c>
      <c r="C58" s="154">
        <v>0</v>
      </c>
      <c r="D58" s="154">
        <v>0</v>
      </c>
      <c r="E58" s="154">
        <v>0</v>
      </c>
      <c r="F58" s="154">
        <v>0</v>
      </c>
      <c r="G58" s="154">
        <v>0</v>
      </c>
      <c r="H58" s="154">
        <v>1149</v>
      </c>
      <c r="I58" s="169">
        <f t="shared" si="2"/>
        <v>1149</v>
      </c>
      <c r="J58" s="154">
        <v>0</v>
      </c>
      <c r="K58" s="169">
        <f t="shared" si="3"/>
        <v>1149</v>
      </c>
    </row>
    <row r="59" spans="1:12" s="9" customFormat="1" ht="15.75" x14ac:dyDescent="0.25">
      <c r="A59" s="26" t="s">
        <v>113</v>
      </c>
      <c r="B59" s="169">
        <f>SUM(B49:B58)</f>
        <v>0</v>
      </c>
      <c r="C59" s="169">
        <f t="shared" ref="C59:J59" si="4">SUM(C49:C58)</f>
        <v>0</v>
      </c>
      <c r="D59" s="169">
        <f t="shared" si="4"/>
        <v>0</v>
      </c>
      <c r="E59" s="169">
        <f t="shared" si="4"/>
        <v>0</v>
      </c>
      <c r="F59" s="169">
        <f>SUM(F49:F58)</f>
        <v>-115607</v>
      </c>
      <c r="G59" s="169">
        <f t="shared" si="4"/>
        <v>0</v>
      </c>
      <c r="H59" s="169">
        <f t="shared" si="4"/>
        <v>2142909</v>
      </c>
      <c r="I59" s="169">
        <f>SUM(I49:I58)</f>
        <v>2027302</v>
      </c>
      <c r="J59" s="169">
        <f t="shared" si="4"/>
        <v>0</v>
      </c>
      <c r="K59" s="169">
        <f>SUM(K49:K58)</f>
        <v>2027302</v>
      </c>
      <c r="L59" s="19"/>
    </row>
    <row r="60" spans="1:12" s="9" customFormat="1" ht="15.75" x14ac:dyDescent="0.25">
      <c r="A60" s="26" t="s">
        <v>341</v>
      </c>
      <c r="B60" s="169">
        <f>+B59+B45</f>
        <v>48907700</v>
      </c>
      <c r="C60" s="169">
        <f>+C45</f>
        <v>0</v>
      </c>
      <c r="D60" s="169">
        <f>+D45</f>
        <v>0</v>
      </c>
      <c r="E60" s="169">
        <f>+E59+E45</f>
        <v>29621187</v>
      </c>
      <c r="F60" s="169">
        <f>+F59+F45</f>
        <v>20916988</v>
      </c>
      <c r="G60" s="169">
        <f>+G59+G45</f>
        <v>-77804002</v>
      </c>
      <c r="H60" s="169">
        <f>+H59+H45</f>
        <v>99058227</v>
      </c>
      <c r="I60" s="169">
        <f>+I59+I45</f>
        <v>120700100</v>
      </c>
      <c r="J60" s="169">
        <f>+J45</f>
        <v>0</v>
      </c>
      <c r="K60" s="169">
        <f>+J60+I60</f>
        <v>120700100</v>
      </c>
    </row>
    <row r="61" spans="1:12" x14ac:dyDescent="0.25">
      <c r="H61" s="155"/>
    </row>
    <row r="62" spans="1:12" x14ac:dyDescent="0.25">
      <c r="H62" s="181"/>
    </row>
    <row r="63" spans="1:12" x14ac:dyDescent="0.25">
      <c r="I63" s="12"/>
    </row>
    <row r="64" spans="1:12" x14ac:dyDescent="0.25">
      <c r="I64" s="12"/>
    </row>
    <row r="65" spans="9:9" x14ac:dyDescent="0.25">
      <c r="I65" s="11"/>
    </row>
    <row r="66" spans="9:9" x14ac:dyDescent="0.25">
      <c r="I66" s="11"/>
    </row>
  </sheetData>
  <mergeCells count="9">
    <mergeCell ref="B36:D36"/>
    <mergeCell ref="A1:K1"/>
    <mergeCell ref="A2:K2"/>
    <mergeCell ref="B6:D6"/>
    <mergeCell ref="A4:K4"/>
    <mergeCell ref="A3:K3"/>
    <mergeCell ref="A34:A35"/>
    <mergeCell ref="E6:G6"/>
    <mergeCell ref="E36:G36"/>
  </mergeCells>
  <phoneticPr fontId="0" type="noConversion"/>
  <pageMargins left="0.41" right="0.17" top="0.61" bottom="0.74803149606299202" header="0.31496062992126" footer="0.31496062992126"/>
  <pageSetup paperSize="9" scale="68" fitToWidth="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8"/>
  <sheetViews>
    <sheetView zoomScaleNormal="100" zoomScaleSheetLayoutView="100" workbookViewId="0">
      <selection activeCell="G18" sqref="G18"/>
    </sheetView>
  </sheetViews>
  <sheetFormatPr defaultRowHeight="15.75" x14ac:dyDescent="0.25"/>
  <cols>
    <col min="1" max="1" width="40.5703125" style="3" customWidth="1"/>
    <col min="2" max="2" width="14.28515625" style="3" customWidth="1"/>
    <col min="3" max="3" width="16.5703125" style="3" customWidth="1"/>
    <col min="4" max="4" width="14" style="3" bestFit="1" customWidth="1"/>
    <col min="5" max="5" width="16.7109375" style="3" customWidth="1"/>
    <col min="6" max="6" width="16.140625" style="3" customWidth="1"/>
    <col min="7" max="7" width="18.28515625" style="3" customWidth="1"/>
    <col min="8" max="8" width="15.5703125" style="3" customWidth="1"/>
    <col min="9" max="9" width="24.5703125" style="3" customWidth="1"/>
    <col min="10" max="16384" width="9.140625" style="3"/>
  </cols>
  <sheetData>
    <row r="1" spans="1:9" x14ac:dyDescent="0.25">
      <c r="A1" s="276" t="s">
        <v>39</v>
      </c>
      <c r="B1" s="277"/>
      <c r="C1" s="277"/>
      <c r="D1" s="277"/>
      <c r="E1" s="277"/>
      <c r="F1" s="277"/>
      <c r="G1" s="277"/>
      <c r="H1" s="277"/>
      <c r="I1" s="278"/>
    </row>
    <row r="2" spans="1:9" x14ac:dyDescent="0.25">
      <c r="A2" s="279" t="s">
        <v>228</v>
      </c>
      <c r="B2" s="280"/>
      <c r="C2" s="280"/>
      <c r="D2" s="280"/>
      <c r="E2" s="280"/>
      <c r="F2" s="280"/>
      <c r="G2" s="280"/>
      <c r="H2" s="280"/>
      <c r="I2" s="281"/>
    </row>
    <row r="3" spans="1:9" x14ac:dyDescent="0.25">
      <c r="A3" s="279" t="s">
        <v>334</v>
      </c>
      <c r="B3" s="280"/>
      <c r="C3" s="280"/>
      <c r="D3" s="280"/>
      <c r="E3" s="280"/>
      <c r="F3" s="280"/>
      <c r="G3" s="280"/>
      <c r="H3" s="280"/>
      <c r="I3" s="281"/>
    </row>
    <row r="4" spans="1:9" x14ac:dyDescent="0.25">
      <c r="A4" s="279"/>
      <c r="B4" s="280"/>
      <c r="C4" s="280"/>
      <c r="D4" s="280"/>
      <c r="E4" s="280"/>
      <c r="F4" s="280"/>
      <c r="G4" s="280"/>
      <c r="H4" s="280"/>
      <c r="I4" s="281"/>
    </row>
    <row r="5" spans="1:9" s="144" customFormat="1" x14ac:dyDescent="0.25">
      <c r="A5" s="320" t="s">
        <v>132</v>
      </c>
      <c r="B5" s="321"/>
      <c r="C5" s="321"/>
      <c r="D5" s="321"/>
      <c r="E5" s="321"/>
      <c r="F5" s="321"/>
      <c r="G5" s="321"/>
      <c r="H5" s="321"/>
      <c r="I5" s="322"/>
    </row>
    <row r="6" spans="1:9" x14ac:dyDescent="0.25">
      <c r="A6" s="83" t="s">
        <v>1</v>
      </c>
      <c r="B6" s="80" t="s">
        <v>233</v>
      </c>
      <c r="C6" s="80" t="s">
        <v>150</v>
      </c>
      <c r="D6" s="80" t="s">
        <v>153</v>
      </c>
      <c r="E6" s="80" t="s">
        <v>154</v>
      </c>
      <c r="F6" s="80" t="s">
        <v>156</v>
      </c>
      <c r="G6" s="80" t="s">
        <v>157</v>
      </c>
      <c r="H6" s="80" t="s">
        <v>58</v>
      </c>
      <c r="I6" s="80" t="s">
        <v>130</v>
      </c>
    </row>
    <row r="7" spans="1:9" x14ac:dyDescent="0.25">
      <c r="A7" s="54"/>
      <c r="B7" s="81"/>
      <c r="C7" s="81" t="s">
        <v>151</v>
      </c>
      <c r="D7" s="81"/>
      <c r="E7" s="81" t="s">
        <v>155</v>
      </c>
      <c r="F7" s="81"/>
      <c r="G7" s="81"/>
      <c r="H7" s="81"/>
      <c r="I7" s="81"/>
    </row>
    <row r="8" spans="1:9" x14ac:dyDescent="0.25">
      <c r="A8" s="84"/>
      <c r="B8" s="82"/>
      <c r="C8" s="82" t="s">
        <v>152</v>
      </c>
      <c r="D8" s="82"/>
      <c r="E8" s="82"/>
      <c r="F8" s="82"/>
      <c r="G8" s="82"/>
      <c r="H8" s="82"/>
      <c r="I8" s="82"/>
    </row>
    <row r="9" spans="1:9" x14ac:dyDescent="0.25">
      <c r="A9" s="26" t="s">
        <v>133</v>
      </c>
      <c r="B9" s="27"/>
      <c r="C9" s="27"/>
      <c r="D9" s="27"/>
      <c r="E9" s="27"/>
      <c r="F9" s="27"/>
      <c r="G9" s="27"/>
      <c r="H9" s="27"/>
      <c r="I9" s="27"/>
    </row>
    <row r="10" spans="1:9" x14ac:dyDescent="0.25">
      <c r="A10" s="27" t="s">
        <v>134</v>
      </c>
      <c r="B10" s="29"/>
      <c r="C10" s="29"/>
      <c r="D10" s="29"/>
      <c r="E10" s="29">
        <f>+'FINANCIAL POSITION'!B13</f>
        <v>753331.67560299998</v>
      </c>
      <c r="F10" s="29"/>
      <c r="G10" s="29"/>
      <c r="H10" s="29"/>
      <c r="I10" s="29">
        <f>SUM(B10:H10)</f>
        <v>753331.67560299998</v>
      </c>
    </row>
    <row r="11" spans="1:9" x14ac:dyDescent="0.25">
      <c r="A11" s="27" t="s">
        <v>54</v>
      </c>
      <c r="B11" s="29"/>
      <c r="C11" s="29"/>
      <c r="D11" s="29"/>
      <c r="E11" s="29">
        <f>+'FINANCIAL POSITION'!B14</f>
        <v>57453.355320000002</v>
      </c>
      <c r="F11" s="29"/>
      <c r="G11" s="29"/>
      <c r="H11" s="29"/>
      <c r="I11" s="29">
        <f t="shared" ref="I11:I19" si="0">SUM(B11:H11)</f>
        <v>57453.355320000002</v>
      </c>
    </row>
    <row r="12" spans="1:9" x14ac:dyDescent="0.25">
      <c r="A12" s="27" t="s">
        <v>55</v>
      </c>
      <c r="B12" s="29"/>
      <c r="C12" s="29"/>
      <c r="D12" s="29"/>
      <c r="E12" s="29">
        <f>+'FINANCIAL POSITION'!B15</f>
        <v>17582886.509580001</v>
      </c>
      <c r="F12" s="29"/>
      <c r="G12" s="29"/>
      <c r="H12" s="29"/>
      <c r="I12" s="29">
        <f t="shared" si="0"/>
        <v>17582886.509580001</v>
      </c>
    </row>
    <row r="13" spans="1:9" x14ac:dyDescent="0.25">
      <c r="A13" s="27" t="s">
        <v>56</v>
      </c>
      <c r="B13" s="29"/>
      <c r="C13" s="29"/>
      <c r="D13" s="29"/>
      <c r="E13" s="29"/>
      <c r="F13" s="29"/>
      <c r="G13" s="29"/>
      <c r="H13" s="29"/>
      <c r="I13" s="29">
        <f t="shared" si="0"/>
        <v>0</v>
      </c>
    </row>
    <row r="14" spans="1:9" x14ac:dyDescent="0.25">
      <c r="A14" s="27" t="s">
        <v>135</v>
      </c>
      <c r="B14" s="29"/>
      <c r="C14" s="29"/>
      <c r="D14" s="29"/>
      <c r="E14" s="29"/>
      <c r="F14" s="29"/>
      <c r="G14" s="29"/>
      <c r="H14" s="29"/>
      <c r="I14" s="29">
        <f t="shared" si="0"/>
        <v>0</v>
      </c>
    </row>
    <row r="15" spans="1:9" x14ac:dyDescent="0.25">
      <c r="A15" s="27" t="s">
        <v>136</v>
      </c>
      <c r="B15" s="29"/>
      <c r="C15" s="29"/>
      <c r="D15" s="29"/>
      <c r="E15" s="29"/>
      <c r="F15" s="29"/>
      <c r="G15" s="29"/>
      <c r="H15" s="29"/>
      <c r="I15" s="29">
        <f t="shared" si="0"/>
        <v>0</v>
      </c>
    </row>
    <row r="16" spans="1:9" x14ac:dyDescent="0.25">
      <c r="A16" s="27" t="s">
        <v>137</v>
      </c>
      <c r="B16" s="29"/>
      <c r="C16" s="29"/>
      <c r="D16" s="29"/>
      <c r="E16" s="29">
        <f>+'FINANCIAL POSITION'!B20</f>
        <v>105000</v>
      </c>
      <c r="F16" s="29"/>
      <c r="G16" s="29"/>
      <c r="H16" s="29"/>
      <c r="I16" s="29">
        <f t="shared" si="0"/>
        <v>105000</v>
      </c>
    </row>
    <row r="17" spans="1:9" x14ac:dyDescent="0.25">
      <c r="A17" s="27" t="s">
        <v>185</v>
      </c>
      <c r="B17" s="29"/>
      <c r="C17" s="29"/>
      <c r="D17" s="29"/>
      <c r="E17" s="29">
        <f>+'FINANCIAL POSITION'!B21</f>
        <v>8778861.2853030004</v>
      </c>
      <c r="F17" s="29"/>
      <c r="G17" s="29"/>
      <c r="H17" s="29"/>
      <c r="I17" s="29">
        <f t="shared" si="0"/>
        <v>8778861.2853030004</v>
      </c>
    </row>
    <row r="18" spans="1:9" x14ac:dyDescent="0.25">
      <c r="A18" s="27" t="s">
        <v>58</v>
      </c>
      <c r="B18" s="29"/>
      <c r="C18" s="29"/>
      <c r="D18" s="29"/>
      <c r="E18" s="29"/>
      <c r="F18" s="29"/>
      <c r="G18" s="29"/>
      <c r="H18" s="29"/>
      <c r="I18" s="29">
        <f t="shared" si="0"/>
        <v>0</v>
      </c>
    </row>
    <row r="19" spans="1:9" x14ac:dyDescent="0.25">
      <c r="A19" s="27" t="s">
        <v>138</v>
      </c>
      <c r="B19" s="29"/>
      <c r="C19" s="29"/>
      <c r="D19" s="29">
        <f>+'FINANCIAL POSITION'!B23</f>
        <v>4872887.1036400003</v>
      </c>
      <c r="E19" s="29"/>
      <c r="F19" s="29">
        <f>+'FINANCIAL POSITION'!B22</f>
        <v>2040</v>
      </c>
      <c r="G19" s="29"/>
      <c r="H19" s="29"/>
      <c r="I19" s="29">
        <f t="shared" si="0"/>
        <v>4874927.1036400003</v>
      </c>
    </row>
    <row r="20" spans="1:9" s="2" customFormat="1" x14ac:dyDescent="0.25">
      <c r="A20" s="26" t="s">
        <v>139</v>
      </c>
      <c r="B20" s="30">
        <f>SUM(B10:B19)</f>
        <v>0</v>
      </c>
      <c r="C20" s="30">
        <f>SUM(C10:C19)</f>
        <v>0</v>
      </c>
      <c r="D20" s="30">
        <f>SUM(D10:D19)</f>
        <v>4872887.1036400003</v>
      </c>
      <c r="E20" s="30">
        <f>SUM(E10:E19)</f>
        <v>27277532.825806003</v>
      </c>
      <c r="F20" s="30">
        <f>SUM(F10:F19)</f>
        <v>2040</v>
      </c>
      <c r="G20" s="30">
        <f t="shared" ref="G20:H20" si="1">SUM(G10:G19)</f>
        <v>0</v>
      </c>
      <c r="H20" s="30">
        <f t="shared" si="1"/>
        <v>0</v>
      </c>
      <c r="I20" s="30">
        <f>SUM(I10:I19)</f>
        <v>32152459.929446004</v>
      </c>
    </row>
    <row r="21" spans="1:9" x14ac:dyDescent="0.25">
      <c r="A21" s="99"/>
      <c r="B21" s="100"/>
      <c r="C21" s="100"/>
      <c r="D21" s="100"/>
      <c r="E21" s="100"/>
      <c r="F21" s="100"/>
      <c r="G21" s="100"/>
      <c r="H21" s="100"/>
      <c r="I21" s="101"/>
    </row>
    <row r="22" spans="1:9" x14ac:dyDescent="0.25">
      <c r="A22" s="83" t="s">
        <v>1</v>
      </c>
      <c r="B22" s="80" t="s">
        <v>233</v>
      </c>
      <c r="C22" s="80" t="s">
        <v>150</v>
      </c>
      <c r="D22" s="80" t="s">
        <v>153</v>
      </c>
      <c r="E22" s="80" t="s">
        <v>154</v>
      </c>
      <c r="F22" s="80" t="s">
        <v>156</v>
      </c>
      <c r="G22" s="80" t="s">
        <v>157</v>
      </c>
      <c r="H22" s="80" t="s">
        <v>58</v>
      </c>
      <c r="I22" s="80" t="s">
        <v>130</v>
      </c>
    </row>
    <row r="23" spans="1:9" x14ac:dyDescent="0.25">
      <c r="A23" s="54"/>
      <c r="B23" s="81"/>
      <c r="C23" s="81" t="s">
        <v>151</v>
      </c>
      <c r="D23" s="81"/>
      <c r="E23" s="81" t="s">
        <v>155</v>
      </c>
      <c r="F23" s="81"/>
      <c r="G23" s="81"/>
      <c r="H23" s="81"/>
      <c r="I23" s="81"/>
    </row>
    <row r="24" spans="1:9" x14ac:dyDescent="0.25">
      <c r="A24" s="84"/>
      <c r="B24" s="82"/>
      <c r="C24" s="82" t="s">
        <v>152</v>
      </c>
      <c r="D24" s="82"/>
      <c r="E24" s="82"/>
      <c r="F24" s="82"/>
      <c r="G24" s="82"/>
      <c r="H24" s="82"/>
      <c r="I24" s="82"/>
    </row>
    <row r="25" spans="1:9" x14ac:dyDescent="0.25">
      <c r="A25" s="26" t="s">
        <v>140</v>
      </c>
      <c r="B25" s="27"/>
      <c r="C25" s="27"/>
      <c r="D25" s="67"/>
      <c r="E25" s="67"/>
      <c r="F25" s="27"/>
      <c r="G25" s="27"/>
      <c r="H25" s="27"/>
      <c r="I25" s="27"/>
    </row>
    <row r="26" spans="1:9" x14ac:dyDescent="0.25">
      <c r="A26" s="27" t="s">
        <v>75</v>
      </c>
      <c r="B26" s="86"/>
      <c r="C26" s="86"/>
      <c r="D26" s="105"/>
      <c r="E26" s="105">
        <f>+'FINANCIAL POSITION'!B33</f>
        <v>19267133.903489001</v>
      </c>
      <c r="F26" s="86"/>
      <c r="G26" s="86"/>
      <c r="H26" s="86"/>
      <c r="I26" s="29">
        <f>SUM(B26:H26)</f>
        <v>19267133.903489001</v>
      </c>
    </row>
    <row r="27" spans="1:9" x14ac:dyDescent="0.25">
      <c r="A27" s="27" t="s">
        <v>56</v>
      </c>
      <c r="B27" s="86"/>
      <c r="C27" s="86"/>
      <c r="D27" s="106"/>
      <c r="E27" s="106"/>
      <c r="F27" s="86"/>
      <c r="G27" s="86"/>
      <c r="H27" s="86"/>
      <c r="I27" s="29">
        <f t="shared" ref="I27:I32" si="2">SUM(B27:H27)</f>
        <v>0</v>
      </c>
    </row>
    <row r="28" spans="1:9" x14ac:dyDescent="0.25">
      <c r="A28" s="27" t="s">
        <v>141</v>
      </c>
      <c r="B28" s="86"/>
      <c r="C28" s="86"/>
      <c r="D28" s="106"/>
      <c r="E28" s="106"/>
      <c r="F28" s="86"/>
      <c r="G28" s="86"/>
      <c r="H28" s="86"/>
      <c r="I28" s="29">
        <f t="shared" si="2"/>
        <v>0</v>
      </c>
    </row>
    <row r="29" spans="1:9" x14ac:dyDescent="0.25">
      <c r="A29" s="27" t="s">
        <v>136</v>
      </c>
      <c r="B29" s="86"/>
      <c r="C29" s="86"/>
      <c r="D29" s="106"/>
      <c r="E29" s="106"/>
      <c r="F29" s="86"/>
      <c r="G29" s="86"/>
      <c r="H29" s="86"/>
      <c r="I29" s="29">
        <f t="shared" si="2"/>
        <v>0</v>
      </c>
    </row>
    <row r="30" spans="1:9" x14ac:dyDescent="0.25">
      <c r="A30" s="27" t="s">
        <v>142</v>
      </c>
      <c r="B30" s="86"/>
      <c r="C30" s="86"/>
      <c r="D30" s="105"/>
      <c r="E30" s="105">
        <f>+'FINANCIAL POSITION'!B38</f>
        <v>3767030.472331</v>
      </c>
      <c r="F30" s="86"/>
      <c r="G30" s="86"/>
      <c r="H30" s="86"/>
      <c r="I30" s="29">
        <f t="shared" si="2"/>
        <v>3767030.472331</v>
      </c>
    </row>
    <row r="31" spans="1:9" x14ac:dyDescent="0.25">
      <c r="A31" s="27" t="s">
        <v>76</v>
      </c>
      <c r="B31" s="86"/>
      <c r="C31" s="86"/>
      <c r="D31" s="106"/>
      <c r="E31" s="106"/>
      <c r="F31" s="86"/>
      <c r="G31" s="86"/>
      <c r="H31" s="29"/>
      <c r="I31" s="29">
        <f t="shared" si="2"/>
        <v>0</v>
      </c>
    </row>
    <row r="32" spans="1:9" x14ac:dyDescent="0.25">
      <c r="A32" s="27" t="s">
        <v>143</v>
      </c>
      <c r="B32" s="86"/>
      <c r="C32" s="86"/>
      <c r="D32" s="106"/>
      <c r="E32" s="106"/>
      <c r="F32" s="86"/>
      <c r="G32" s="86"/>
      <c r="H32" s="29"/>
      <c r="I32" s="29">
        <f t="shared" si="2"/>
        <v>0</v>
      </c>
    </row>
    <row r="33" spans="1:9" x14ac:dyDescent="0.25">
      <c r="A33" s="26" t="s">
        <v>158</v>
      </c>
      <c r="B33" s="107">
        <f t="shared" ref="B33:D33" si="3">SUM(B26:B32)</f>
        <v>0</v>
      </c>
      <c r="C33" s="107">
        <f t="shared" si="3"/>
        <v>0</v>
      </c>
      <c r="D33" s="107">
        <f t="shared" si="3"/>
        <v>0</v>
      </c>
      <c r="E33" s="107">
        <f>SUM(E26:E32)</f>
        <v>23034164.37582</v>
      </c>
      <c r="F33" s="107">
        <f t="shared" ref="F33:H33" si="4">SUM(F26:F32)</f>
        <v>0</v>
      </c>
      <c r="G33" s="107">
        <f t="shared" si="4"/>
        <v>0</v>
      </c>
      <c r="H33" s="107">
        <f t="shared" si="4"/>
        <v>0</v>
      </c>
      <c r="I33" s="30">
        <f>SUM(B33:H33)</f>
        <v>23034164.37582</v>
      </c>
    </row>
    <row r="34" spans="1:9" s="31" customFormat="1" x14ac:dyDescent="0.25">
      <c r="A34" s="59" t="s">
        <v>144</v>
      </c>
      <c r="B34" s="66"/>
      <c r="C34" s="66"/>
      <c r="D34" s="66"/>
      <c r="E34" s="66"/>
      <c r="F34" s="66"/>
      <c r="G34" s="66"/>
      <c r="H34" s="66"/>
      <c r="I34" s="102"/>
    </row>
    <row r="35" spans="1:9" s="31" customFormat="1" x14ac:dyDescent="0.25">
      <c r="A35" s="59" t="s">
        <v>145</v>
      </c>
      <c r="B35" s="66"/>
      <c r="C35" s="66"/>
      <c r="D35" s="66"/>
      <c r="E35" s="66"/>
      <c r="F35" s="66"/>
      <c r="G35" s="66"/>
      <c r="H35" s="66"/>
      <c r="I35" s="102"/>
    </row>
    <row r="36" spans="1:9" s="31" customFormat="1" x14ac:dyDescent="0.25">
      <c r="A36" s="59" t="s">
        <v>146</v>
      </c>
      <c r="B36" s="66"/>
      <c r="C36" s="66"/>
      <c r="D36" s="66"/>
      <c r="E36" s="66"/>
      <c r="F36" s="66"/>
      <c r="G36" s="66"/>
      <c r="H36" s="66"/>
      <c r="I36" s="102"/>
    </row>
    <row r="37" spans="1:9" s="31" customFormat="1" x14ac:dyDescent="0.25">
      <c r="A37" s="59" t="s">
        <v>147</v>
      </c>
      <c r="B37" s="66"/>
      <c r="C37" s="66"/>
      <c r="D37" s="66"/>
      <c r="E37" s="66"/>
      <c r="F37" s="66"/>
      <c r="G37" s="66"/>
      <c r="H37" s="66"/>
      <c r="I37" s="102"/>
    </row>
    <row r="38" spans="1:9" s="31" customFormat="1" x14ac:dyDescent="0.25">
      <c r="A38" s="59" t="s">
        <v>148</v>
      </c>
      <c r="B38" s="66"/>
      <c r="C38" s="66"/>
      <c r="D38" s="66"/>
      <c r="E38" s="66"/>
      <c r="F38" s="66"/>
      <c r="G38" s="66"/>
      <c r="H38" s="66"/>
      <c r="I38" s="102"/>
    </row>
    <row r="39" spans="1:9" s="31" customFormat="1" x14ac:dyDescent="0.25">
      <c r="A39" s="59" t="s">
        <v>149</v>
      </c>
      <c r="B39" s="66"/>
      <c r="C39" s="66"/>
      <c r="D39" s="66"/>
      <c r="E39" s="66"/>
      <c r="F39" s="66"/>
      <c r="G39" s="66"/>
      <c r="H39" s="66"/>
      <c r="I39" s="102"/>
    </row>
    <row r="40" spans="1:9" s="31" customFormat="1" x14ac:dyDescent="0.25">
      <c r="A40" s="59"/>
      <c r="B40" s="66"/>
      <c r="C40" s="66"/>
      <c r="D40" s="66"/>
      <c r="E40" s="66"/>
      <c r="F40" s="66"/>
      <c r="G40" s="66"/>
      <c r="H40" s="66"/>
      <c r="I40" s="102"/>
    </row>
    <row r="41" spans="1:9" s="31" customFormat="1" x14ac:dyDescent="0.25">
      <c r="A41" s="59"/>
      <c r="B41" s="66"/>
      <c r="C41" s="66"/>
      <c r="D41" s="66"/>
      <c r="E41" s="66"/>
      <c r="F41" s="66"/>
      <c r="G41" s="66"/>
      <c r="H41" s="66"/>
      <c r="I41" s="102"/>
    </row>
    <row r="42" spans="1:9" s="31" customFormat="1" ht="16.5" thickBot="1" x14ac:dyDescent="0.3">
      <c r="A42" s="103"/>
      <c r="B42" s="85"/>
      <c r="C42" s="85"/>
      <c r="D42" s="85"/>
      <c r="E42" s="85"/>
      <c r="F42" s="85"/>
      <c r="G42" s="85"/>
      <c r="H42" s="85"/>
      <c r="I42" s="104"/>
    </row>
    <row r="43" spans="1:9" s="31" customFormat="1" ht="16.5" thickTop="1" x14ac:dyDescent="0.25">
      <c r="A43" s="59"/>
      <c r="B43" s="66"/>
      <c r="C43" s="66"/>
      <c r="D43" s="66"/>
      <c r="E43" s="66"/>
      <c r="F43" s="66"/>
      <c r="G43" s="66"/>
      <c r="H43" s="66"/>
      <c r="I43" s="102"/>
    </row>
    <row r="44" spans="1:9" s="31" customFormat="1" x14ac:dyDescent="0.25">
      <c r="A44" s="59"/>
      <c r="B44" s="66"/>
      <c r="C44" s="66"/>
      <c r="D44" s="66"/>
      <c r="E44" s="66"/>
      <c r="F44" s="66"/>
      <c r="G44" s="66"/>
      <c r="H44" s="66"/>
      <c r="I44" s="102"/>
    </row>
    <row r="45" spans="1:9" s="31" customFormat="1" x14ac:dyDescent="0.25">
      <c r="A45" s="59"/>
      <c r="B45" s="66"/>
      <c r="C45" s="66"/>
      <c r="D45" s="66"/>
      <c r="E45" s="66"/>
      <c r="F45" s="66"/>
      <c r="G45" s="66"/>
      <c r="H45" s="66"/>
      <c r="I45" s="102"/>
    </row>
    <row r="46" spans="1:9" s="31" customFormat="1" x14ac:dyDescent="0.25">
      <c r="A46" s="279" t="s">
        <v>39</v>
      </c>
      <c r="B46" s="280"/>
      <c r="C46" s="280"/>
      <c r="D46" s="280"/>
      <c r="E46" s="280"/>
      <c r="F46" s="280"/>
      <c r="G46" s="280"/>
      <c r="H46" s="280"/>
      <c r="I46" s="281"/>
    </row>
    <row r="47" spans="1:9" s="31" customFormat="1" x14ac:dyDescent="0.25">
      <c r="A47" s="279" t="s">
        <v>159</v>
      </c>
      <c r="B47" s="280"/>
      <c r="C47" s="280"/>
      <c r="D47" s="280"/>
      <c r="E47" s="280"/>
      <c r="F47" s="280"/>
      <c r="G47" s="280"/>
      <c r="H47" s="280"/>
      <c r="I47" s="281"/>
    </row>
    <row r="48" spans="1:9" s="31" customFormat="1" x14ac:dyDescent="0.25">
      <c r="A48" s="279" t="s">
        <v>335</v>
      </c>
      <c r="B48" s="280"/>
      <c r="C48" s="280"/>
      <c r="D48" s="280"/>
      <c r="E48" s="280"/>
      <c r="F48" s="280"/>
      <c r="G48" s="280"/>
      <c r="H48" s="280"/>
      <c r="I48" s="281"/>
    </row>
    <row r="49" spans="1:9" s="31" customFormat="1" x14ac:dyDescent="0.25">
      <c r="A49" s="196"/>
      <c r="B49" s="197"/>
      <c r="C49" s="197"/>
      <c r="D49" s="197"/>
      <c r="E49" s="197"/>
      <c r="F49" s="197"/>
      <c r="G49" s="197"/>
      <c r="H49" s="197"/>
      <c r="I49" s="198"/>
    </row>
    <row r="50" spans="1:9" s="144" customFormat="1" x14ac:dyDescent="0.25">
      <c r="A50" s="317" t="s">
        <v>246</v>
      </c>
      <c r="B50" s="318"/>
      <c r="C50" s="318"/>
      <c r="D50" s="318"/>
      <c r="E50" s="318"/>
      <c r="F50" s="318"/>
      <c r="G50" s="318"/>
      <c r="H50" s="318"/>
      <c r="I50" s="319"/>
    </row>
    <row r="51" spans="1:9" x14ac:dyDescent="0.25">
      <c r="A51" s="83" t="s">
        <v>1</v>
      </c>
      <c r="B51" s="80" t="s">
        <v>233</v>
      </c>
      <c r="C51" s="80" t="s">
        <v>150</v>
      </c>
      <c r="D51" s="80" t="s">
        <v>153</v>
      </c>
      <c r="E51" s="80" t="s">
        <v>154</v>
      </c>
      <c r="F51" s="80" t="s">
        <v>156</v>
      </c>
      <c r="G51" s="80" t="s">
        <v>157</v>
      </c>
      <c r="H51" s="80" t="s">
        <v>58</v>
      </c>
      <c r="I51" s="80" t="s">
        <v>130</v>
      </c>
    </row>
    <row r="52" spans="1:9" x14ac:dyDescent="0.25">
      <c r="A52" s="54"/>
      <c r="B52" s="81"/>
      <c r="C52" s="81" t="s">
        <v>151</v>
      </c>
      <c r="D52" s="81"/>
      <c r="E52" s="81" t="s">
        <v>155</v>
      </c>
      <c r="F52" s="81"/>
      <c r="G52" s="81"/>
      <c r="H52" s="81"/>
      <c r="I52" s="81"/>
    </row>
    <row r="53" spans="1:9" x14ac:dyDescent="0.25">
      <c r="A53" s="84"/>
      <c r="B53" s="82"/>
      <c r="C53" s="82" t="s">
        <v>152</v>
      </c>
      <c r="D53" s="82"/>
      <c r="E53" s="82"/>
      <c r="F53" s="82"/>
      <c r="G53" s="82"/>
      <c r="H53" s="82"/>
      <c r="I53" s="82"/>
    </row>
    <row r="54" spans="1:9" x14ac:dyDescent="0.25">
      <c r="A54" s="26" t="s">
        <v>133</v>
      </c>
      <c r="B54" s="27"/>
      <c r="C54" s="27"/>
      <c r="D54" s="29"/>
      <c r="F54" s="29"/>
      <c r="G54" s="29"/>
      <c r="H54" s="29"/>
      <c r="I54" s="29"/>
    </row>
    <row r="55" spans="1:9" x14ac:dyDescent="0.25">
      <c r="A55" s="27" t="s">
        <v>134</v>
      </c>
      <c r="B55" s="29"/>
      <c r="C55" s="29"/>
      <c r="D55" s="29"/>
      <c r="E55" s="29">
        <v>221762</v>
      </c>
      <c r="F55" s="29"/>
      <c r="G55" s="29"/>
      <c r="H55" s="29"/>
      <c r="I55" s="29">
        <v>221762</v>
      </c>
    </row>
    <row r="56" spans="1:9" x14ac:dyDescent="0.25">
      <c r="A56" s="27" t="s">
        <v>54</v>
      </c>
      <c r="B56" s="29"/>
      <c r="C56" s="29"/>
      <c r="D56" s="29"/>
      <c r="E56" s="29">
        <v>54694</v>
      </c>
      <c r="F56" s="29"/>
      <c r="G56" s="29"/>
      <c r="H56" s="29"/>
      <c r="I56" s="29">
        <v>54694</v>
      </c>
    </row>
    <row r="57" spans="1:9" x14ac:dyDescent="0.25">
      <c r="A57" s="27" t="s">
        <v>55</v>
      </c>
      <c r="B57" s="29"/>
      <c r="C57" s="29"/>
      <c r="D57" s="29"/>
      <c r="E57" s="29">
        <v>23847187</v>
      </c>
      <c r="F57" s="29"/>
      <c r="G57" s="29"/>
      <c r="H57" s="29"/>
      <c r="I57" s="29">
        <v>23847187</v>
      </c>
    </row>
    <row r="58" spans="1:9" x14ac:dyDescent="0.25">
      <c r="A58" s="27" t="s">
        <v>56</v>
      </c>
      <c r="B58" s="29"/>
      <c r="C58" s="29"/>
      <c r="D58" s="29"/>
      <c r="E58" s="29"/>
      <c r="F58" s="29"/>
      <c r="G58" s="29"/>
      <c r="H58" s="29"/>
      <c r="I58" s="29">
        <v>0</v>
      </c>
    </row>
    <row r="59" spans="1:9" x14ac:dyDescent="0.25">
      <c r="A59" s="27" t="s">
        <v>135</v>
      </c>
      <c r="B59" s="29"/>
      <c r="C59" s="29"/>
      <c r="D59" s="29"/>
      <c r="E59" s="29"/>
      <c r="F59" s="29"/>
      <c r="G59" s="29"/>
      <c r="H59" s="29"/>
      <c r="I59" s="29">
        <v>0</v>
      </c>
    </row>
    <row r="60" spans="1:9" x14ac:dyDescent="0.25">
      <c r="A60" s="27" t="s">
        <v>136</v>
      </c>
      <c r="B60" s="29"/>
      <c r="C60" s="29"/>
      <c r="D60" s="29"/>
      <c r="E60" s="29"/>
      <c r="F60" s="29"/>
      <c r="G60" s="29"/>
      <c r="H60" s="29"/>
      <c r="I60" s="29">
        <v>0</v>
      </c>
    </row>
    <row r="61" spans="1:9" x14ac:dyDescent="0.25">
      <c r="A61" s="27" t="s">
        <v>137</v>
      </c>
      <c r="B61" s="29"/>
      <c r="C61" s="29"/>
      <c r="D61" s="29"/>
      <c r="E61" s="29">
        <v>170000</v>
      </c>
      <c r="F61" s="29"/>
      <c r="G61" s="29"/>
      <c r="H61" s="29"/>
      <c r="I61" s="29">
        <v>170000</v>
      </c>
    </row>
    <row r="62" spans="1:9" x14ac:dyDescent="0.25">
      <c r="A62" s="27" t="s">
        <v>185</v>
      </c>
      <c r="B62" s="29"/>
      <c r="C62" s="29"/>
      <c r="D62" s="29"/>
      <c r="E62" s="29">
        <v>13489153</v>
      </c>
      <c r="F62" s="29"/>
      <c r="G62" s="29"/>
      <c r="H62" s="29"/>
      <c r="I62" s="29">
        <v>13489153</v>
      </c>
    </row>
    <row r="63" spans="1:9" x14ac:dyDescent="0.25">
      <c r="A63" s="27" t="s">
        <v>58</v>
      </c>
      <c r="B63" s="29"/>
      <c r="C63" s="29"/>
      <c r="D63" s="29"/>
      <c r="E63" s="29"/>
      <c r="F63" s="29"/>
      <c r="G63" s="29"/>
      <c r="H63" s="29"/>
      <c r="I63" s="29">
        <v>0</v>
      </c>
    </row>
    <row r="64" spans="1:9" x14ac:dyDescent="0.25">
      <c r="A64" s="27" t="s">
        <v>138</v>
      </c>
      <c r="B64" s="29"/>
      <c r="C64" s="29"/>
      <c r="D64" s="29">
        <v>4687835</v>
      </c>
      <c r="E64" s="29"/>
      <c r="F64" s="29">
        <v>2040</v>
      </c>
      <c r="G64" s="29"/>
      <c r="H64" s="29"/>
      <c r="I64" s="29">
        <v>4689875</v>
      </c>
    </row>
    <row r="65" spans="1:9" s="2" customFormat="1" x14ac:dyDescent="0.25">
      <c r="A65" s="26" t="s">
        <v>139</v>
      </c>
      <c r="B65" s="30"/>
      <c r="C65" s="30">
        <v>0</v>
      </c>
      <c r="D65" s="30">
        <v>4687835</v>
      </c>
      <c r="E65" s="30">
        <v>37782796</v>
      </c>
      <c r="F65" s="30">
        <v>2040</v>
      </c>
      <c r="G65" s="30"/>
      <c r="H65" s="30"/>
      <c r="I65" s="30">
        <v>42472671</v>
      </c>
    </row>
    <row r="66" spans="1:9" x14ac:dyDescent="0.25">
      <c r="A66" s="99"/>
      <c r="B66" s="100"/>
      <c r="C66" s="100"/>
      <c r="D66" s="100"/>
      <c r="E66" s="100"/>
      <c r="F66" s="100"/>
      <c r="G66" s="100"/>
      <c r="H66" s="100"/>
      <c r="I66" s="101"/>
    </row>
    <row r="67" spans="1:9" x14ac:dyDescent="0.25">
      <c r="A67" s="83" t="s">
        <v>229</v>
      </c>
      <c r="B67" s="80" t="s">
        <v>233</v>
      </c>
      <c r="C67" s="80" t="s">
        <v>150</v>
      </c>
      <c r="D67" s="80" t="s">
        <v>153</v>
      </c>
      <c r="E67" s="80" t="s">
        <v>154</v>
      </c>
      <c r="F67" s="80" t="s">
        <v>156</v>
      </c>
      <c r="G67" s="80" t="s">
        <v>157</v>
      </c>
      <c r="H67" s="80" t="s">
        <v>58</v>
      </c>
      <c r="I67" s="80" t="s">
        <v>130</v>
      </c>
    </row>
    <row r="68" spans="1:9" x14ac:dyDescent="0.25">
      <c r="A68" s="54"/>
      <c r="B68" s="81"/>
      <c r="C68" s="81" t="s">
        <v>151</v>
      </c>
      <c r="D68" s="81"/>
      <c r="E68" s="81" t="s">
        <v>155</v>
      </c>
      <c r="F68" s="81"/>
      <c r="G68" s="81"/>
      <c r="H68" s="81"/>
      <c r="I68" s="81"/>
    </row>
    <row r="69" spans="1:9" x14ac:dyDescent="0.25">
      <c r="A69" s="84"/>
      <c r="B69" s="82"/>
      <c r="C69" s="82" t="s">
        <v>152</v>
      </c>
      <c r="D69" s="82"/>
      <c r="E69" s="82"/>
      <c r="F69" s="82"/>
      <c r="G69" s="82"/>
      <c r="H69" s="82"/>
      <c r="I69" s="82"/>
    </row>
    <row r="70" spans="1:9" x14ac:dyDescent="0.25">
      <c r="A70" s="26" t="s">
        <v>140</v>
      </c>
      <c r="B70" s="27"/>
      <c r="C70" s="27"/>
      <c r="D70" s="122"/>
      <c r="E70" s="122"/>
      <c r="F70" s="27"/>
      <c r="G70" s="27"/>
      <c r="H70" s="27"/>
      <c r="I70" s="27"/>
    </row>
    <row r="71" spans="1:9" x14ac:dyDescent="0.25">
      <c r="A71" s="27" t="s">
        <v>75</v>
      </c>
      <c r="B71" s="86"/>
      <c r="C71" s="86"/>
      <c r="D71" s="123"/>
      <c r="E71" s="105">
        <v>31232400</v>
      </c>
      <c r="F71" s="86"/>
      <c r="G71" s="86"/>
      <c r="H71" s="86"/>
      <c r="I71" s="29">
        <v>31232400</v>
      </c>
    </row>
    <row r="72" spans="1:9" x14ac:dyDescent="0.25">
      <c r="A72" s="27" t="s">
        <v>56</v>
      </c>
      <c r="B72" s="86"/>
      <c r="C72" s="86"/>
      <c r="D72" s="121"/>
      <c r="E72" s="106"/>
      <c r="F72" s="86"/>
      <c r="G72" s="86"/>
      <c r="H72" s="86"/>
      <c r="I72" s="29">
        <v>0</v>
      </c>
    </row>
    <row r="73" spans="1:9" x14ac:dyDescent="0.25">
      <c r="A73" s="27" t="s">
        <v>141</v>
      </c>
      <c r="B73" s="86"/>
      <c r="C73" s="86"/>
      <c r="D73" s="121"/>
      <c r="E73" s="106"/>
      <c r="F73" s="86"/>
      <c r="G73" s="86"/>
      <c r="H73" s="86"/>
      <c r="I73" s="29">
        <v>0</v>
      </c>
    </row>
    <row r="74" spans="1:9" x14ac:dyDescent="0.25">
      <c r="A74" s="27" t="s">
        <v>136</v>
      </c>
      <c r="B74" s="86"/>
      <c r="C74" s="86"/>
      <c r="D74" s="121"/>
      <c r="E74" s="106"/>
      <c r="F74" s="86"/>
      <c r="G74" s="86"/>
      <c r="H74" s="86"/>
      <c r="I74" s="29">
        <v>0</v>
      </c>
    </row>
    <row r="75" spans="1:9" x14ac:dyDescent="0.25">
      <c r="A75" s="27" t="s">
        <v>142</v>
      </c>
      <c r="B75" s="86"/>
      <c r="C75" s="86"/>
      <c r="D75" s="123"/>
      <c r="E75" s="105">
        <v>3125362</v>
      </c>
      <c r="F75" s="86"/>
      <c r="G75" s="86"/>
      <c r="H75" s="86"/>
      <c r="I75" s="29">
        <v>3125362</v>
      </c>
    </row>
    <row r="76" spans="1:9" x14ac:dyDescent="0.25">
      <c r="A76" s="27" t="s">
        <v>76</v>
      </c>
      <c r="B76" s="86"/>
      <c r="C76" s="86"/>
      <c r="D76" s="121"/>
      <c r="E76" s="121"/>
      <c r="F76" s="86"/>
      <c r="G76" s="86"/>
      <c r="H76" s="29"/>
      <c r="I76" s="29">
        <v>0</v>
      </c>
    </row>
    <row r="77" spans="1:9" x14ac:dyDescent="0.25">
      <c r="A77" s="27" t="s">
        <v>143</v>
      </c>
      <c r="B77" s="86"/>
      <c r="C77" s="86"/>
      <c r="D77" s="121"/>
      <c r="E77" s="121"/>
      <c r="F77" s="86"/>
      <c r="G77" s="86"/>
      <c r="H77" s="29"/>
      <c r="I77" s="29">
        <v>0</v>
      </c>
    </row>
    <row r="78" spans="1:9" x14ac:dyDescent="0.25">
      <c r="A78" s="26" t="s">
        <v>158</v>
      </c>
      <c r="B78" s="30"/>
      <c r="C78" s="30"/>
      <c r="D78" s="30"/>
      <c r="E78" s="195">
        <v>34357762</v>
      </c>
      <c r="F78" s="30"/>
      <c r="G78" s="30"/>
      <c r="H78" s="30"/>
      <c r="I78" s="30">
        <v>34357762</v>
      </c>
    </row>
    <row r="79" spans="1:9" s="31" customFormat="1" x14ac:dyDescent="0.25">
      <c r="A79" s="59" t="s">
        <v>144</v>
      </c>
      <c r="B79" s="66"/>
      <c r="C79" s="66"/>
      <c r="D79" s="66"/>
      <c r="E79" s="66"/>
      <c r="F79" s="66"/>
      <c r="G79" s="66"/>
      <c r="H79" s="66"/>
      <c r="I79" s="102"/>
    </row>
    <row r="80" spans="1:9" s="31" customFormat="1" x14ac:dyDescent="0.25">
      <c r="A80" s="59" t="s">
        <v>145</v>
      </c>
      <c r="B80" s="66"/>
      <c r="C80" s="66"/>
      <c r="D80" s="66"/>
      <c r="E80" s="66"/>
      <c r="F80" s="66"/>
      <c r="G80" s="66"/>
      <c r="H80" s="66"/>
      <c r="I80" s="102"/>
    </row>
    <row r="81" spans="1:9" s="31" customFormat="1" x14ac:dyDescent="0.25">
      <c r="A81" s="59" t="s">
        <v>146</v>
      </c>
      <c r="B81" s="66"/>
      <c r="C81" s="66"/>
      <c r="D81" s="66"/>
      <c r="E81" s="66"/>
      <c r="F81" s="66"/>
      <c r="G81" s="66"/>
      <c r="H81" s="66"/>
      <c r="I81" s="102"/>
    </row>
    <row r="82" spans="1:9" s="31" customFormat="1" x14ac:dyDescent="0.25">
      <c r="A82" s="59" t="s">
        <v>147</v>
      </c>
      <c r="B82" s="66"/>
      <c r="C82" s="66"/>
      <c r="D82" s="66"/>
      <c r="E82" s="66"/>
      <c r="F82" s="66"/>
      <c r="G82" s="66"/>
      <c r="H82" s="66"/>
      <c r="I82" s="102"/>
    </row>
    <row r="83" spans="1:9" s="31" customFormat="1" x14ac:dyDescent="0.25">
      <c r="A83" s="59" t="s">
        <v>148</v>
      </c>
      <c r="B83" s="66"/>
      <c r="C83" s="66"/>
      <c r="D83" s="66"/>
      <c r="E83" s="66"/>
      <c r="F83" s="66"/>
      <c r="G83" s="66"/>
      <c r="H83" s="66"/>
      <c r="I83" s="102"/>
    </row>
    <row r="84" spans="1:9" s="31" customFormat="1" x14ac:dyDescent="0.25">
      <c r="A84" s="59" t="s">
        <v>149</v>
      </c>
      <c r="B84" s="66"/>
      <c r="C84" s="66"/>
      <c r="D84" s="66"/>
      <c r="E84" s="66"/>
      <c r="F84" s="66"/>
      <c r="G84" s="66"/>
      <c r="H84" s="66"/>
      <c r="I84" s="102"/>
    </row>
    <row r="85" spans="1:9" s="31" customFormat="1" x14ac:dyDescent="0.25">
      <c r="A85" s="59"/>
      <c r="B85" s="66"/>
      <c r="C85" s="66"/>
      <c r="D85" s="66"/>
      <c r="E85" s="66"/>
      <c r="F85" s="66"/>
      <c r="G85" s="66"/>
      <c r="H85" s="66"/>
      <c r="I85" s="102"/>
    </row>
    <row r="86" spans="1:9" s="31" customFormat="1" x14ac:dyDescent="0.25">
      <c r="A86" s="59"/>
      <c r="B86" s="66"/>
      <c r="C86" s="66"/>
      <c r="D86" s="66"/>
      <c r="E86" s="66"/>
      <c r="F86" s="66"/>
      <c r="G86" s="66"/>
      <c r="H86" s="66"/>
      <c r="I86" s="102"/>
    </row>
    <row r="87" spans="1:9" s="31" customFormat="1" x14ac:dyDescent="0.25">
      <c r="A87" s="60"/>
      <c r="B87" s="33"/>
      <c r="C87" s="33"/>
      <c r="D87" s="33"/>
      <c r="E87" s="33"/>
      <c r="F87" s="33"/>
      <c r="G87" s="33"/>
      <c r="H87" s="33"/>
      <c r="I87" s="199"/>
    </row>
    <row r="88" spans="1:9" s="66" customFormat="1" hidden="1" x14ac:dyDescent="0.25"/>
    <row r="89" spans="1:9" s="66" customFormat="1" hidden="1" x14ac:dyDescent="0.25"/>
    <row r="90" spans="1:9" s="66" customFormat="1" hidden="1" x14ac:dyDescent="0.25"/>
    <row r="91" spans="1:9" s="66" customFormat="1" hidden="1" x14ac:dyDescent="0.25">
      <c r="A91" s="311" t="s">
        <v>39</v>
      </c>
      <c r="B91" s="312"/>
      <c r="C91" s="312"/>
      <c r="D91" s="312"/>
      <c r="E91" s="312"/>
      <c r="F91" s="312"/>
      <c r="G91" s="312"/>
      <c r="H91" s="312"/>
      <c r="I91" s="313"/>
    </row>
    <row r="92" spans="1:9" s="66" customFormat="1" hidden="1" x14ac:dyDescent="0.25">
      <c r="A92" s="308" t="s">
        <v>228</v>
      </c>
      <c r="B92" s="309"/>
      <c r="C92" s="309"/>
      <c r="D92" s="309"/>
      <c r="E92" s="309"/>
      <c r="F92" s="309"/>
      <c r="G92" s="309"/>
      <c r="H92" s="309"/>
      <c r="I92" s="310"/>
    </row>
    <row r="93" spans="1:9" s="258" customFormat="1" hidden="1" x14ac:dyDescent="0.25">
      <c r="A93" s="314" t="s">
        <v>322</v>
      </c>
      <c r="B93" s="315"/>
      <c r="C93" s="315"/>
      <c r="D93" s="315"/>
      <c r="E93" s="315"/>
      <c r="F93" s="315"/>
      <c r="G93" s="315"/>
      <c r="H93" s="315"/>
      <c r="I93" s="316"/>
    </row>
    <row r="94" spans="1:9" s="66" customFormat="1" hidden="1" x14ac:dyDescent="0.25">
      <c r="A94" s="308"/>
      <c r="B94" s="309"/>
      <c r="C94" s="309"/>
      <c r="D94" s="309"/>
      <c r="E94" s="309"/>
      <c r="F94" s="309"/>
      <c r="G94" s="309"/>
      <c r="H94" s="309"/>
      <c r="I94" s="310"/>
    </row>
    <row r="95" spans="1:9" s="4" customFormat="1" hidden="1" x14ac:dyDescent="0.25">
      <c r="A95" s="251" t="s">
        <v>261</v>
      </c>
      <c r="B95" s="252"/>
      <c r="C95" s="252"/>
      <c r="D95" s="252"/>
      <c r="E95" s="252"/>
      <c r="F95" s="252"/>
      <c r="G95" s="252"/>
      <c r="H95" s="252"/>
      <c r="I95" s="253"/>
    </row>
    <row r="96" spans="1:9" s="4" customFormat="1" hidden="1" x14ac:dyDescent="0.25">
      <c r="A96" s="163" t="s">
        <v>229</v>
      </c>
      <c r="B96" s="164" t="s">
        <v>233</v>
      </c>
      <c r="C96" s="164" t="s">
        <v>150</v>
      </c>
      <c r="D96" s="164" t="s">
        <v>153</v>
      </c>
      <c r="E96" s="164" t="s">
        <v>154</v>
      </c>
      <c r="F96" s="164" t="s">
        <v>156</v>
      </c>
      <c r="G96" s="164" t="s">
        <v>157</v>
      </c>
      <c r="H96" s="164" t="s">
        <v>58</v>
      </c>
      <c r="I96" s="164" t="s">
        <v>130</v>
      </c>
    </row>
    <row r="97" spans="1:9" s="4" customFormat="1" hidden="1" x14ac:dyDescent="0.25">
      <c r="A97" s="165"/>
      <c r="B97" s="166"/>
      <c r="C97" s="166" t="s">
        <v>151</v>
      </c>
      <c r="D97" s="166"/>
      <c r="E97" s="166" t="s">
        <v>155</v>
      </c>
      <c r="F97" s="166"/>
      <c r="G97" s="166"/>
      <c r="H97" s="166"/>
      <c r="I97" s="166"/>
    </row>
    <row r="98" spans="1:9" s="4" customFormat="1" hidden="1" x14ac:dyDescent="0.25">
      <c r="A98" s="167"/>
      <c r="B98" s="168"/>
      <c r="C98" s="168" t="s">
        <v>152</v>
      </c>
      <c r="D98" s="168"/>
      <c r="E98" s="168"/>
      <c r="F98" s="168"/>
      <c r="G98" s="168"/>
      <c r="H98" s="168"/>
      <c r="I98" s="168"/>
    </row>
    <row r="99" spans="1:9" s="4" customFormat="1" hidden="1" x14ac:dyDescent="0.25">
      <c r="A99" s="26" t="s">
        <v>133</v>
      </c>
      <c r="B99" s="27"/>
      <c r="C99" s="27"/>
      <c r="D99" s="27"/>
      <c r="E99" s="27"/>
      <c r="F99" s="27"/>
      <c r="G99" s="27"/>
      <c r="H99" s="27"/>
      <c r="I99" s="27"/>
    </row>
    <row r="100" spans="1:9" s="4" customFormat="1" hidden="1" x14ac:dyDescent="0.25">
      <c r="A100" s="27" t="s">
        <v>134</v>
      </c>
      <c r="B100" s="154">
        <v>0</v>
      </c>
      <c r="C100" s="154"/>
      <c r="D100" s="154"/>
      <c r="E100" s="154"/>
      <c r="F100" s="154"/>
      <c r="G100" s="154"/>
      <c r="H100" s="154"/>
      <c r="I100" s="154">
        <f>SUM(B100:H100)</f>
        <v>0</v>
      </c>
    </row>
    <row r="101" spans="1:9" s="4" customFormat="1" hidden="1" x14ac:dyDescent="0.25">
      <c r="A101" s="27" t="s">
        <v>54</v>
      </c>
      <c r="B101" s="154"/>
      <c r="C101" s="154"/>
      <c r="D101" s="154"/>
      <c r="E101" s="154"/>
      <c r="F101" s="154"/>
      <c r="G101" s="154"/>
      <c r="H101" s="154"/>
      <c r="I101" s="154">
        <f t="shared" ref="I101:I109" si="5">SUM(B101:H101)</f>
        <v>0</v>
      </c>
    </row>
    <row r="102" spans="1:9" s="4" customFormat="1" hidden="1" x14ac:dyDescent="0.25">
      <c r="A102" s="27" t="s">
        <v>55</v>
      </c>
      <c r="B102" s="154"/>
      <c r="C102" s="154"/>
      <c r="D102" s="154"/>
      <c r="E102" s="154"/>
      <c r="F102" s="154"/>
      <c r="G102" s="154"/>
      <c r="H102" s="154"/>
      <c r="I102" s="154">
        <f t="shared" si="5"/>
        <v>0</v>
      </c>
    </row>
    <row r="103" spans="1:9" s="4" customFormat="1" hidden="1" x14ac:dyDescent="0.25">
      <c r="A103" s="27" t="s">
        <v>56</v>
      </c>
      <c r="B103" s="154"/>
      <c r="C103" s="154"/>
      <c r="D103" s="154"/>
      <c r="E103" s="154"/>
      <c r="F103" s="154"/>
      <c r="G103" s="154"/>
      <c r="H103" s="154"/>
      <c r="I103" s="154">
        <f t="shared" si="5"/>
        <v>0</v>
      </c>
    </row>
    <row r="104" spans="1:9" s="4" customFormat="1" hidden="1" x14ac:dyDescent="0.25">
      <c r="A104" s="27" t="s">
        <v>135</v>
      </c>
      <c r="B104" s="154"/>
      <c r="C104" s="154"/>
      <c r="D104" s="154"/>
      <c r="E104" s="154"/>
      <c r="F104" s="154"/>
      <c r="G104" s="154"/>
      <c r="H104" s="154"/>
      <c r="I104" s="154">
        <f t="shared" si="5"/>
        <v>0</v>
      </c>
    </row>
    <row r="105" spans="1:9" s="4" customFormat="1" hidden="1" x14ac:dyDescent="0.25">
      <c r="A105" s="27" t="s">
        <v>136</v>
      </c>
      <c r="B105" s="154"/>
      <c r="C105" s="154"/>
      <c r="D105" s="154"/>
      <c r="E105" s="154"/>
      <c r="F105" s="154"/>
      <c r="G105" s="154"/>
      <c r="H105" s="154"/>
      <c r="I105" s="154">
        <f t="shared" si="5"/>
        <v>0</v>
      </c>
    </row>
    <row r="106" spans="1:9" s="4" customFormat="1" hidden="1" x14ac:dyDescent="0.25">
      <c r="A106" s="27" t="s">
        <v>137</v>
      </c>
      <c r="B106" s="154"/>
      <c r="C106" s="154"/>
      <c r="D106" s="154"/>
      <c r="E106" s="154"/>
      <c r="F106" s="154"/>
      <c r="G106" s="154"/>
      <c r="H106" s="154"/>
      <c r="I106" s="154">
        <f t="shared" si="5"/>
        <v>0</v>
      </c>
    </row>
    <row r="107" spans="1:9" s="4" customFormat="1" hidden="1" x14ac:dyDescent="0.25">
      <c r="A107" s="27" t="s">
        <v>185</v>
      </c>
      <c r="B107" s="154"/>
      <c r="C107" s="154"/>
      <c r="D107" s="154"/>
      <c r="E107" s="154"/>
      <c r="F107" s="154"/>
      <c r="G107" s="154"/>
      <c r="H107" s="154"/>
      <c r="I107" s="154">
        <f t="shared" si="5"/>
        <v>0</v>
      </c>
    </row>
    <row r="108" spans="1:9" s="4" customFormat="1" hidden="1" x14ac:dyDescent="0.25">
      <c r="A108" s="27" t="s">
        <v>58</v>
      </c>
      <c r="B108" s="154"/>
      <c r="C108" s="154"/>
      <c r="D108" s="178"/>
      <c r="E108" s="178"/>
      <c r="F108" s="178"/>
      <c r="G108" s="178"/>
      <c r="H108" s="178"/>
      <c r="I108" s="178">
        <f t="shared" si="5"/>
        <v>0</v>
      </c>
    </row>
    <row r="109" spans="1:9" s="4" customFormat="1" hidden="1" x14ac:dyDescent="0.25">
      <c r="A109" s="27" t="s">
        <v>138</v>
      </c>
      <c r="B109" s="154"/>
      <c r="C109" s="154"/>
      <c r="D109" s="178">
        <f>492410866211.07/1000</f>
        <v>492410866.21107</v>
      </c>
      <c r="E109" s="178"/>
      <c r="F109" s="178">
        <f>194019726382.614/1000</f>
        <v>194019726.38261402</v>
      </c>
      <c r="G109" s="178"/>
      <c r="H109" s="178"/>
      <c r="I109" s="178">
        <f t="shared" si="5"/>
        <v>686430592.59368396</v>
      </c>
    </row>
    <row r="110" spans="1:9" s="5" customFormat="1" hidden="1" x14ac:dyDescent="0.25">
      <c r="A110" s="26" t="s">
        <v>139</v>
      </c>
      <c r="B110" s="169"/>
      <c r="C110" s="169"/>
      <c r="D110" s="201">
        <f>SUM(D100:D109)</f>
        <v>492410866.21107</v>
      </c>
      <c r="E110" s="201"/>
      <c r="F110" s="201">
        <f>SUM(F100:F109)</f>
        <v>194019726.38261402</v>
      </c>
      <c r="G110" s="201"/>
      <c r="H110" s="201"/>
      <c r="I110" s="201">
        <f>SUM(I100:I109)</f>
        <v>686430592.59368396</v>
      </c>
    </row>
    <row r="111" spans="1:9" s="4" customFormat="1" hidden="1" x14ac:dyDescent="0.25">
      <c r="A111" s="99"/>
      <c r="B111" s="170"/>
      <c r="C111" s="170"/>
      <c r="D111" s="170"/>
      <c r="E111" s="170"/>
      <c r="F111" s="170"/>
      <c r="G111" s="170"/>
      <c r="H111" s="170"/>
      <c r="I111" s="171"/>
    </row>
    <row r="112" spans="1:9" s="4" customFormat="1" hidden="1" x14ac:dyDescent="0.25">
      <c r="A112" s="163" t="s">
        <v>229</v>
      </c>
      <c r="B112" s="164" t="s">
        <v>233</v>
      </c>
      <c r="C112" s="164" t="s">
        <v>150</v>
      </c>
      <c r="D112" s="164" t="s">
        <v>153</v>
      </c>
      <c r="E112" s="164" t="s">
        <v>154</v>
      </c>
      <c r="F112" s="164" t="s">
        <v>156</v>
      </c>
      <c r="G112" s="164" t="s">
        <v>157</v>
      </c>
      <c r="H112" s="164" t="s">
        <v>58</v>
      </c>
      <c r="I112" s="164" t="s">
        <v>130</v>
      </c>
    </row>
    <row r="113" spans="1:9" s="4" customFormat="1" hidden="1" x14ac:dyDescent="0.25">
      <c r="A113" s="165"/>
      <c r="B113" s="166"/>
      <c r="C113" s="166" t="s">
        <v>151</v>
      </c>
      <c r="D113" s="166"/>
      <c r="E113" s="166" t="s">
        <v>155</v>
      </c>
      <c r="F113" s="166"/>
      <c r="G113" s="166"/>
      <c r="H113" s="166"/>
      <c r="I113" s="166"/>
    </row>
    <row r="114" spans="1:9" s="4" customFormat="1" hidden="1" x14ac:dyDescent="0.25">
      <c r="A114" s="167"/>
      <c r="B114" s="168"/>
      <c r="C114" s="168" t="s">
        <v>152</v>
      </c>
      <c r="D114" s="168"/>
      <c r="E114" s="168"/>
      <c r="F114" s="168"/>
      <c r="G114" s="168"/>
      <c r="H114" s="168"/>
      <c r="I114" s="168"/>
    </row>
    <row r="115" spans="1:9" s="4" customFormat="1" hidden="1" x14ac:dyDescent="0.25">
      <c r="A115" s="27" t="s">
        <v>75</v>
      </c>
      <c r="B115" s="86"/>
      <c r="C115" s="86"/>
      <c r="D115" s="86"/>
      <c r="E115" s="86"/>
      <c r="F115" s="86"/>
      <c r="G115" s="86"/>
      <c r="H115" s="86"/>
      <c r="I115" s="154">
        <f>SUM(B115:H115)</f>
        <v>0</v>
      </c>
    </row>
    <row r="116" spans="1:9" s="4" customFormat="1" hidden="1" x14ac:dyDescent="0.25">
      <c r="A116" s="27" t="s">
        <v>56</v>
      </c>
      <c r="B116" s="86"/>
      <c r="C116" s="86"/>
      <c r="D116" s="86"/>
      <c r="E116" s="86"/>
      <c r="F116" s="86"/>
      <c r="G116" s="86"/>
      <c r="H116" s="86"/>
      <c r="I116" s="154">
        <f t="shared" ref="I116:I122" si="6">SUM(B116:H116)</f>
        <v>0</v>
      </c>
    </row>
    <row r="117" spans="1:9" s="4" customFormat="1" hidden="1" x14ac:dyDescent="0.25">
      <c r="A117" s="27" t="s">
        <v>141</v>
      </c>
      <c r="B117" s="86"/>
      <c r="C117" s="86"/>
      <c r="D117" s="86"/>
      <c r="E117" s="86"/>
      <c r="F117" s="86"/>
      <c r="G117" s="86"/>
      <c r="H117" s="86"/>
      <c r="I117" s="154">
        <f t="shared" si="6"/>
        <v>0</v>
      </c>
    </row>
    <row r="118" spans="1:9" s="4" customFormat="1" hidden="1" x14ac:dyDescent="0.25">
      <c r="A118" s="27" t="s">
        <v>136</v>
      </c>
      <c r="B118" s="86"/>
      <c r="C118" s="86"/>
      <c r="D118" s="86"/>
      <c r="E118" s="86"/>
      <c r="F118" s="86"/>
      <c r="G118" s="86"/>
      <c r="H118" s="86"/>
      <c r="I118" s="154">
        <f t="shared" si="6"/>
        <v>0</v>
      </c>
    </row>
    <row r="119" spans="1:9" s="4" customFormat="1" hidden="1" x14ac:dyDescent="0.25">
      <c r="A119" s="27" t="s">
        <v>142</v>
      </c>
      <c r="B119" s="86"/>
      <c r="C119" s="86"/>
      <c r="D119" s="86"/>
      <c r="E119" s="86"/>
      <c r="F119" s="86"/>
      <c r="G119" s="86"/>
      <c r="H119" s="86"/>
      <c r="I119" s="154">
        <f t="shared" si="6"/>
        <v>0</v>
      </c>
    </row>
    <row r="120" spans="1:9" s="4" customFormat="1" hidden="1" x14ac:dyDescent="0.25">
      <c r="A120" s="27" t="s">
        <v>76</v>
      </c>
      <c r="B120" s="86"/>
      <c r="C120" s="86"/>
      <c r="D120" s="86"/>
      <c r="E120" s="86"/>
      <c r="F120" s="86"/>
      <c r="G120" s="86"/>
      <c r="H120" s="154"/>
      <c r="I120" s="154">
        <f t="shared" si="6"/>
        <v>0</v>
      </c>
    </row>
    <row r="121" spans="1:9" s="4" customFormat="1" hidden="1" x14ac:dyDescent="0.25">
      <c r="A121" s="27" t="s">
        <v>143</v>
      </c>
      <c r="B121" s="86"/>
      <c r="C121" s="86"/>
      <c r="D121" s="86"/>
      <c r="E121" s="86"/>
      <c r="F121" s="86"/>
      <c r="G121" s="86"/>
      <c r="H121" s="154"/>
      <c r="I121" s="154">
        <f t="shared" si="6"/>
        <v>0</v>
      </c>
    </row>
    <row r="122" spans="1:9" s="4" customFormat="1" hidden="1" x14ac:dyDescent="0.25">
      <c r="A122" s="26" t="s">
        <v>158</v>
      </c>
      <c r="B122" s="32"/>
      <c r="C122" s="32"/>
      <c r="D122" s="32"/>
      <c r="E122" s="32"/>
      <c r="F122" s="32"/>
      <c r="G122" s="32"/>
      <c r="H122" s="169"/>
      <c r="I122" s="169">
        <f t="shared" si="6"/>
        <v>0</v>
      </c>
    </row>
    <row r="123" spans="1:9" s="66" customFormat="1" hidden="1" x14ac:dyDescent="0.25">
      <c r="A123" s="172" t="s">
        <v>144</v>
      </c>
      <c r="B123" s="173"/>
      <c r="C123" s="173"/>
      <c r="D123" s="173"/>
      <c r="E123" s="173"/>
      <c r="F123" s="173"/>
      <c r="G123" s="173"/>
      <c r="H123" s="173"/>
      <c r="I123" s="174"/>
    </row>
    <row r="124" spans="1:9" s="66" customFormat="1" hidden="1" x14ac:dyDescent="0.25">
      <c r="A124" s="172" t="s">
        <v>145</v>
      </c>
      <c r="B124" s="173"/>
      <c r="C124" s="173"/>
      <c r="D124" s="173"/>
      <c r="E124" s="173"/>
      <c r="F124" s="173"/>
      <c r="G124" s="173"/>
      <c r="H124" s="173"/>
      <c r="I124" s="174"/>
    </row>
    <row r="125" spans="1:9" s="66" customFormat="1" hidden="1" x14ac:dyDescent="0.25">
      <c r="A125" s="172" t="s">
        <v>146</v>
      </c>
      <c r="B125" s="173"/>
      <c r="C125" s="173"/>
      <c r="D125" s="173"/>
      <c r="E125" s="173"/>
      <c r="F125" s="173"/>
      <c r="G125" s="173"/>
      <c r="H125" s="173"/>
      <c r="I125" s="174"/>
    </row>
    <row r="126" spans="1:9" s="66" customFormat="1" hidden="1" x14ac:dyDescent="0.25">
      <c r="A126" s="172" t="s">
        <v>147</v>
      </c>
      <c r="B126" s="173"/>
      <c r="C126" s="173"/>
      <c r="D126" s="173"/>
      <c r="E126" s="173"/>
      <c r="F126" s="173"/>
      <c r="G126" s="173"/>
      <c r="H126" s="173"/>
      <c r="I126" s="174"/>
    </row>
    <row r="127" spans="1:9" s="66" customFormat="1" hidden="1" x14ac:dyDescent="0.25">
      <c r="A127" s="172" t="s">
        <v>148</v>
      </c>
      <c r="B127" s="173"/>
      <c r="C127" s="173"/>
      <c r="D127" s="173"/>
      <c r="E127" s="173"/>
      <c r="F127" s="173"/>
      <c r="G127" s="173"/>
      <c r="H127" s="173"/>
      <c r="I127" s="174"/>
    </row>
    <row r="128" spans="1:9" s="66" customFormat="1" ht="12.75" hidden="1" customHeight="1" x14ac:dyDescent="0.25">
      <c r="A128" s="172" t="s">
        <v>149</v>
      </c>
      <c r="B128" s="173"/>
      <c r="C128" s="173"/>
      <c r="D128" s="173"/>
      <c r="E128" s="173"/>
      <c r="F128" s="173"/>
      <c r="G128" s="173"/>
      <c r="H128" s="173"/>
      <c r="I128" s="174"/>
    </row>
    <row r="129" spans="1:9" s="66" customFormat="1" ht="12.75" hidden="1" customHeight="1" x14ac:dyDescent="0.25">
      <c r="A129" s="172"/>
      <c r="B129" s="173"/>
      <c r="C129" s="173"/>
      <c r="D129" s="173"/>
      <c r="E129" s="173"/>
      <c r="F129" s="173"/>
      <c r="G129" s="173"/>
      <c r="H129" s="173"/>
      <c r="I129" s="174"/>
    </row>
    <row r="130" spans="1:9" s="66" customFormat="1" ht="12.75" hidden="1" customHeight="1" x14ac:dyDescent="0.25">
      <c r="A130" s="172"/>
      <c r="B130" s="173"/>
      <c r="C130" s="173"/>
      <c r="D130" s="173"/>
      <c r="E130" s="173"/>
      <c r="F130" s="173"/>
      <c r="G130" s="173"/>
      <c r="H130" s="173"/>
      <c r="I130" s="174"/>
    </row>
    <row r="131" spans="1:9" s="66" customFormat="1" ht="12.75" hidden="1" customHeight="1" thickBot="1" x14ac:dyDescent="0.3">
      <c r="A131" s="175"/>
      <c r="B131" s="176"/>
      <c r="C131" s="176"/>
      <c r="D131" s="176"/>
      <c r="E131" s="176"/>
      <c r="F131" s="176"/>
      <c r="G131" s="176"/>
      <c r="H131" s="176"/>
      <c r="I131" s="177"/>
    </row>
    <row r="132" spans="1:9" s="66" customFormat="1" ht="12.75" hidden="1" customHeight="1" thickTop="1" x14ac:dyDescent="0.25">
      <c r="A132" s="172"/>
      <c r="B132" s="173"/>
      <c r="C132" s="173"/>
      <c r="D132" s="173"/>
      <c r="E132" s="173"/>
      <c r="F132" s="173"/>
      <c r="G132" s="173"/>
      <c r="H132" s="173"/>
      <c r="I132" s="174"/>
    </row>
    <row r="133" spans="1:9" s="66" customFormat="1" ht="12.75" hidden="1" customHeight="1" x14ac:dyDescent="0.25">
      <c r="A133" s="172"/>
      <c r="B133" s="173"/>
      <c r="C133" s="173"/>
      <c r="D133" s="173"/>
      <c r="E133" s="173"/>
      <c r="F133" s="173"/>
      <c r="G133" s="173"/>
      <c r="H133" s="173"/>
      <c r="I133" s="174"/>
    </row>
    <row r="134" spans="1:9" s="66" customFormat="1" ht="12.75" hidden="1" customHeight="1" x14ac:dyDescent="0.25">
      <c r="A134" s="172"/>
      <c r="B134" s="173"/>
      <c r="C134" s="173"/>
      <c r="D134" s="173"/>
      <c r="E134" s="173"/>
      <c r="F134" s="173"/>
      <c r="G134" s="173"/>
      <c r="H134" s="173"/>
      <c r="I134" s="174"/>
    </row>
    <row r="135" spans="1:9" s="66" customFormat="1" hidden="1" x14ac:dyDescent="0.25">
      <c r="A135" s="308" t="s">
        <v>39</v>
      </c>
      <c r="B135" s="309"/>
      <c r="C135" s="309"/>
      <c r="D135" s="309"/>
      <c r="E135" s="309"/>
      <c r="F135" s="309"/>
      <c r="G135" s="309"/>
      <c r="H135" s="309"/>
      <c r="I135" s="310"/>
    </row>
    <row r="136" spans="1:9" s="66" customFormat="1" hidden="1" x14ac:dyDescent="0.25">
      <c r="A136" s="308" t="s">
        <v>228</v>
      </c>
      <c r="B136" s="309"/>
      <c r="C136" s="309"/>
      <c r="D136" s="309"/>
      <c r="E136" s="309"/>
      <c r="F136" s="309"/>
      <c r="G136" s="309"/>
      <c r="H136" s="309"/>
      <c r="I136" s="310"/>
    </row>
    <row r="137" spans="1:9" s="66" customFormat="1" hidden="1" x14ac:dyDescent="0.25">
      <c r="A137" s="308" t="s">
        <v>313</v>
      </c>
      <c r="B137" s="309"/>
      <c r="C137" s="309"/>
      <c r="D137" s="309"/>
      <c r="E137" s="309"/>
      <c r="F137" s="309"/>
      <c r="G137" s="309"/>
      <c r="H137" s="309"/>
      <c r="I137" s="310"/>
    </row>
    <row r="138" spans="1:9" s="66" customFormat="1" hidden="1" x14ac:dyDescent="0.25">
      <c r="A138" s="308"/>
      <c r="B138" s="309"/>
      <c r="C138" s="309"/>
      <c r="D138" s="309"/>
      <c r="E138" s="309"/>
      <c r="F138" s="309"/>
      <c r="G138" s="309"/>
      <c r="H138" s="309"/>
      <c r="I138" s="310"/>
    </row>
    <row r="139" spans="1:9" s="4" customFormat="1" hidden="1" x14ac:dyDescent="0.25">
      <c r="A139" s="251" t="s">
        <v>323</v>
      </c>
      <c r="B139" s="252"/>
      <c r="C139" s="252"/>
      <c r="D139" s="252"/>
      <c r="E139" s="252"/>
      <c r="F139" s="252"/>
      <c r="G139" s="252"/>
      <c r="H139" s="252"/>
      <c r="I139" s="253"/>
    </row>
    <row r="140" spans="1:9" s="4" customFormat="1" hidden="1" x14ac:dyDescent="0.25">
      <c r="A140" s="163" t="s">
        <v>229</v>
      </c>
      <c r="B140" s="164" t="s">
        <v>233</v>
      </c>
      <c r="C140" s="164" t="s">
        <v>150</v>
      </c>
      <c r="D140" s="164" t="s">
        <v>153</v>
      </c>
      <c r="E140" s="164" t="s">
        <v>154</v>
      </c>
      <c r="F140" s="164" t="s">
        <v>156</v>
      </c>
      <c r="G140" s="164" t="s">
        <v>157</v>
      </c>
      <c r="H140" s="164" t="s">
        <v>58</v>
      </c>
      <c r="I140" s="164" t="s">
        <v>130</v>
      </c>
    </row>
    <row r="141" spans="1:9" s="4" customFormat="1" hidden="1" x14ac:dyDescent="0.25">
      <c r="A141" s="165"/>
      <c r="B141" s="166"/>
      <c r="C141" s="166" t="s">
        <v>151</v>
      </c>
      <c r="D141" s="166"/>
      <c r="E141" s="166" t="s">
        <v>155</v>
      </c>
      <c r="F141" s="166"/>
      <c r="G141" s="166"/>
      <c r="H141" s="166"/>
      <c r="I141" s="166"/>
    </row>
    <row r="142" spans="1:9" s="4" customFormat="1" hidden="1" x14ac:dyDescent="0.25">
      <c r="A142" s="167"/>
      <c r="B142" s="168"/>
      <c r="C142" s="168" t="s">
        <v>152</v>
      </c>
      <c r="D142" s="168"/>
      <c r="E142" s="168"/>
      <c r="F142" s="168"/>
      <c r="G142" s="168"/>
      <c r="H142" s="168"/>
      <c r="I142" s="168"/>
    </row>
    <row r="143" spans="1:9" s="4" customFormat="1" hidden="1" x14ac:dyDescent="0.25">
      <c r="A143" s="26" t="s">
        <v>133</v>
      </c>
      <c r="B143" s="27"/>
      <c r="C143" s="27"/>
      <c r="D143" s="27"/>
      <c r="E143" s="27"/>
      <c r="F143" s="27"/>
      <c r="G143" s="27"/>
      <c r="H143" s="27"/>
      <c r="I143" s="27"/>
    </row>
    <row r="144" spans="1:9" s="4" customFormat="1" hidden="1" x14ac:dyDescent="0.25">
      <c r="A144" s="27" t="s">
        <v>134</v>
      </c>
      <c r="B144" s="154">
        <v>0</v>
      </c>
      <c r="C144" s="154"/>
      <c r="D144" s="154"/>
      <c r="E144" s="154"/>
      <c r="F144" s="154"/>
      <c r="G144" s="154"/>
      <c r="H144" s="154"/>
      <c r="I144" s="154">
        <f>SUM(B144:H144)</f>
        <v>0</v>
      </c>
    </row>
    <row r="145" spans="1:9" s="4" customFormat="1" hidden="1" x14ac:dyDescent="0.25">
      <c r="A145" s="27" t="s">
        <v>54</v>
      </c>
      <c r="B145" s="154"/>
      <c r="C145" s="154"/>
      <c r="D145" s="154"/>
      <c r="E145" s="154"/>
      <c r="F145" s="154"/>
      <c r="G145" s="154"/>
      <c r="H145" s="154"/>
      <c r="I145" s="154">
        <f t="shared" ref="I145:I153" si="7">SUM(B145:H145)</f>
        <v>0</v>
      </c>
    </row>
    <row r="146" spans="1:9" s="4" customFormat="1" hidden="1" x14ac:dyDescent="0.25">
      <c r="A146" s="27" t="s">
        <v>55</v>
      </c>
      <c r="B146" s="154"/>
      <c r="C146" s="154"/>
      <c r="D146" s="154"/>
      <c r="E146" s="154"/>
      <c r="F146" s="154"/>
      <c r="G146" s="154"/>
      <c r="H146" s="154"/>
      <c r="I146" s="154">
        <f t="shared" si="7"/>
        <v>0</v>
      </c>
    </row>
    <row r="147" spans="1:9" s="4" customFormat="1" hidden="1" x14ac:dyDescent="0.25">
      <c r="A147" s="27" t="s">
        <v>56</v>
      </c>
      <c r="B147" s="154"/>
      <c r="C147" s="154"/>
      <c r="D147" s="154"/>
      <c r="E147" s="154"/>
      <c r="F147" s="154"/>
      <c r="G147" s="154"/>
      <c r="H147" s="154"/>
      <c r="I147" s="154">
        <f t="shared" si="7"/>
        <v>0</v>
      </c>
    </row>
    <row r="148" spans="1:9" s="4" customFormat="1" hidden="1" x14ac:dyDescent="0.25">
      <c r="A148" s="27" t="s">
        <v>135</v>
      </c>
      <c r="B148" s="154"/>
      <c r="C148" s="154"/>
      <c r="D148" s="154"/>
      <c r="E148" s="154"/>
      <c r="F148" s="154"/>
      <c r="G148" s="154"/>
      <c r="H148" s="154"/>
      <c r="I148" s="154">
        <f t="shared" si="7"/>
        <v>0</v>
      </c>
    </row>
    <row r="149" spans="1:9" s="4" customFormat="1" hidden="1" x14ac:dyDescent="0.25">
      <c r="A149" s="27" t="s">
        <v>136</v>
      </c>
      <c r="B149" s="154"/>
      <c r="C149" s="154"/>
      <c r="D149" s="154"/>
      <c r="E149" s="154"/>
      <c r="F149" s="154"/>
      <c r="G149" s="154"/>
      <c r="H149" s="154"/>
      <c r="I149" s="154">
        <f t="shared" si="7"/>
        <v>0</v>
      </c>
    </row>
    <row r="150" spans="1:9" s="4" customFormat="1" hidden="1" x14ac:dyDescent="0.25">
      <c r="A150" s="27" t="s">
        <v>137</v>
      </c>
      <c r="B150" s="154"/>
      <c r="C150" s="154"/>
      <c r="D150" s="154"/>
      <c r="E150" s="154"/>
      <c r="F150" s="154"/>
      <c r="G150" s="154"/>
      <c r="H150" s="154"/>
      <c r="I150" s="154">
        <f t="shared" si="7"/>
        <v>0</v>
      </c>
    </row>
    <row r="151" spans="1:9" s="4" customFormat="1" hidden="1" x14ac:dyDescent="0.25">
      <c r="A151" s="27" t="s">
        <v>185</v>
      </c>
      <c r="B151" s="154"/>
      <c r="C151" s="154"/>
      <c r="D151" s="154"/>
      <c r="E151" s="154"/>
      <c r="F151" s="154"/>
      <c r="G151" s="154"/>
      <c r="H151" s="154"/>
      <c r="I151" s="154">
        <f t="shared" si="7"/>
        <v>0</v>
      </c>
    </row>
    <row r="152" spans="1:9" s="4" customFormat="1" hidden="1" x14ac:dyDescent="0.25">
      <c r="A152" s="27" t="s">
        <v>58</v>
      </c>
      <c r="B152" s="154"/>
      <c r="C152" s="154"/>
      <c r="D152" s="178"/>
      <c r="E152" s="178"/>
      <c r="F152" s="178"/>
      <c r="G152" s="178"/>
      <c r="H152" s="178"/>
      <c r="I152" s="178">
        <f t="shared" si="7"/>
        <v>0</v>
      </c>
    </row>
    <row r="153" spans="1:9" s="4" customFormat="1" hidden="1" x14ac:dyDescent="0.25">
      <c r="A153" s="27" t="s">
        <v>138</v>
      </c>
      <c r="B153" s="154"/>
      <c r="C153" s="154"/>
      <c r="D153" s="178">
        <f>(457092337844.36+31740942008.2086)/1000</f>
        <v>488833279.85256863</v>
      </c>
      <c r="E153" s="178"/>
      <c r="F153" s="178">
        <f>(221553768370.991+4469877789.66387)/1000</f>
        <v>226023646.16065487</v>
      </c>
      <c r="G153" s="178"/>
      <c r="H153" s="178"/>
      <c r="I153" s="178">
        <f t="shared" si="7"/>
        <v>714856926.01322353</v>
      </c>
    </row>
    <row r="154" spans="1:9" s="5" customFormat="1" hidden="1" x14ac:dyDescent="0.25">
      <c r="A154" s="26" t="s">
        <v>139</v>
      </c>
      <c r="B154" s="169"/>
      <c r="C154" s="169"/>
      <c r="D154" s="201">
        <f>SUM(D144:D153)</f>
        <v>488833279.85256863</v>
      </c>
      <c r="E154" s="201"/>
      <c r="F154" s="201">
        <f>SUM(F144:F153)</f>
        <v>226023646.16065487</v>
      </c>
      <c r="G154" s="201"/>
      <c r="H154" s="201"/>
      <c r="I154" s="201">
        <f>SUM(I144:I153)</f>
        <v>714856926.01322353</v>
      </c>
    </row>
    <row r="155" spans="1:9" s="4" customFormat="1" ht="18" hidden="1" customHeight="1" x14ac:dyDescent="0.25">
      <c r="A155" s="99"/>
      <c r="B155" s="170"/>
      <c r="C155" s="170"/>
      <c r="D155" s="170"/>
      <c r="E155" s="170"/>
      <c r="F155" s="170"/>
      <c r="G155" s="170"/>
      <c r="H155" s="170"/>
      <c r="I155" s="171"/>
    </row>
    <row r="156" spans="1:9" s="4" customFormat="1" hidden="1" x14ac:dyDescent="0.25">
      <c r="A156" s="163" t="s">
        <v>229</v>
      </c>
      <c r="B156" s="164" t="s">
        <v>233</v>
      </c>
      <c r="C156" s="164" t="s">
        <v>150</v>
      </c>
      <c r="D156" s="164" t="s">
        <v>153</v>
      </c>
      <c r="E156" s="164" t="s">
        <v>154</v>
      </c>
      <c r="F156" s="164" t="s">
        <v>156</v>
      </c>
      <c r="G156" s="164" t="s">
        <v>157</v>
      </c>
      <c r="H156" s="164" t="s">
        <v>58</v>
      </c>
      <c r="I156" s="164" t="s">
        <v>130</v>
      </c>
    </row>
    <row r="157" spans="1:9" s="4" customFormat="1" hidden="1" x14ac:dyDescent="0.25">
      <c r="A157" s="165"/>
      <c r="B157" s="166"/>
      <c r="C157" s="166" t="s">
        <v>151</v>
      </c>
      <c r="D157" s="166"/>
      <c r="E157" s="166" t="s">
        <v>155</v>
      </c>
      <c r="F157" s="166"/>
      <c r="G157" s="166"/>
      <c r="H157" s="166"/>
      <c r="I157" s="166"/>
    </row>
    <row r="158" spans="1:9" s="4" customFormat="1" hidden="1" x14ac:dyDescent="0.25">
      <c r="A158" s="167"/>
      <c r="B158" s="168"/>
      <c r="C158" s="168" t="s">
        <v>152</v>
      </c>
      <c r="D158" s="168"/>
      <c r="E158" s="168"/>
      <c r="F158" s="168"/>
      <c r="G158" s="168"/>
      <c r="H158" s="168"/>
      <c r="I158" s="168"/>
    </row>
    <row r="159" spans="1:9" s="4" customFormat="1" hidden="1" x14ac:dyDescent="0.25">
      <c r="A159" s="27" t="s">
        <v>75</v>
      </c>
      <c r="B159" s="86"/>
      <c r="C159" s="86"/>
      <c r="D159" s="86"/>
      <c r="E159" s="86"/>
      <c r="F159" s="86"/>
      <c r="G159" s="86"/>
      <c r="H159" s="86"/>
      <c r="I159" s="154">
        <f>SUM(B159:H159)</f>
        <v>0</v>
      </c>
    </row>
    <row r="160" spans="1:9" s="4" customFormat="1" hidden="1" x14ac:dyDescent="0.25">
      <c r="A160" s="27" t="s">
        <v>56</v>
      </c>
      <c r="B160" s="86"/>
      <c r="C160" s="86"/>
      <c r="D160" s="86"/>
      <c r="E160" s="86"/>
      <c r="F160" s="86"/>
      <c r="G160" s="86"/>
      <c r="H160" s="86"/>
      <c r="I160" s="154">
        <f t="shared" ref="I160:I166" si="8">SUM(B160:H160)</f>
        <v>0</v>
      </c>
    </row>
    <row r="161" spans="1:9" s="4" customFormat="1" hidden="1" x14ac:dyDescent="0.25">
      <c r="A161" s="27" t="s">
        <v>141</v>
      </c>
      <c r="B161" s="86"/>
      <c r="C161" s="86"/>
      <c r="D161" s="86"/>
      <c r="E161" s="86"/>
      <c r="F161" s="86"/>
      <c r="G161" s="86"/>
      <c r="H161" s="86"/>
      <c r="I161" s="154">
        <f t="shared" si="8"/>
        <v>0</v>
      </c>
    </row>
    <row r="162" spans="1:9" s="4" customFormat="1" hidden="1" x14ac:dyDescent="0.25">
      <c r="A162" s="27" t="s">
        <v>136</v>
      </c>
      <c r="B162" s="86"/>
      <c r="C162" s="86"/>
      <c r="D162" s="86"/>
      <c r="E162" s="86"/>
      <c r="F162" s="86"/>
      <c r="G162" s="86"/>
      <c r="H162" s="86"/>
      <c r="I162" s="154">
        <f t="shared" si="8"/>
        <v>0</v>
      </c>
    </row>
    <row r="163" spans="1:9" s="4" customFormat="1" hidden="1" x14ac:dyDescent="0.25">
      <c r="A163" s="27" t="s">
        <v>142</v>
      </c>
      <c r="B163" s="86"/>
      <c r="C163" s="86"/>
      <c r="D163" s="86"/>
      <c r="E163" s="86"/>
      <c r="F163" s="86"/>
      <c r="G163" s="86"/>
      <c r="H163" s="86"/>
      <c r="I163" s="154">
        <f t="shared" si="8"/>
        <v>0</v>
      </c>
    </row>
    <row r="164" spans="1:9" s="4" customFormat="1" hidden="1" x14ac:dyDescent="0.25">
      <c r="A164" s="27" t="s">
        <v>76</v>
      </c>
      <c r="B164" s="86"/>
      <c r="C164" s="86"/>
      <c r="D164" s="86"/>
      <c r="E164" s="86"/>
      <c r="F164" s="86"/>
      <c r="G164" s="86"/>
      <c r="H164" s="154"/>
      <c r="I164" s="154">
        <f t="shared" si="8"/>
        <v>0</v>
      </c>
    </row>
    <row r="165" spans="1:9" s="4" customFormat="1" hidden="1" x14ac:dyDescent="0.25">
      <c r="A165" s="27" t="s">
        <v>143</v>
      </c>
      <c r="B165" s="86"/>
      <c r="C165" s="86"/>
      <c r="D165" s="86"/>
      <c r="E165" s="86"/>
      <c r="F165" s="86"/>
      <c r="G165" s="86"/>
      <c r="H165" s="154"/>
      <c r="I165" s="154">
        <f t="shared" si="8"/>
        <v>0</v>
      </c>
    </row>
    <row r="166" spans="1:9" s="4" customFormat="1" hidden="1" x14ac:dyDescent="0.25">
      <c r="A166" s="26" t="s">
        <v>158</v>
      </c>
      <c r="B166" s="32"/>
      <c r="C166" s="32"/>
      <c r="D166" s="32"/>
      <c r="E166" s="32"/>
      <c r="F166" s="32"/>
      <c r="G166" s="32"/>
      <c r="H166" s="169"/>
      <c r="I166" s="169">
        <f t="shared" si="8"/>
        <v>0</v>
      </c>
    </row>
    <row r="167" spans="1:9" s="4" customFormat="1" ht="12" hidden="1" customHeight="1" x14ac:dyDescent="0.25">
      <c r="A167" s="172" t="s">
        <v>144</v>
      </c>
      <c r="B167" s="173"/>
      <c r="C167" s="173"/>
      <c r="D167" s="173"/>
      <c r="E167" s="173"/>
      <c r="F167" s="173"/>
      <c r="G167" s="173"/>
      <c r="H167" s="173"/>
      <c r="I167" s="174"/>
    </row>
    <row r="168" spans="1:9" s="66" customFormat="1" hidden="1" x14ac:dyDescent="0.25">
      <c r="A168" s="172" t="s">
        <v>145</v>
      </c>
      <c r="B168" s="173"/>
      <c r="C168" s="173"/>
      <c r="D168" s="173"/>
      <c r="E168" s="173"/>
      <c r="F168" s="173"/>
      <c r="G168" s="173"/>
      <c r="H168" s="173"/>
      <c r="I168" s="174"/>
    </row>
    <row r="169" spans="1:9" s="66" customFormat="1" hidden="1" x14ac:dyDescent="0.25">
      <c r="A169" s="172" t="s">
        <v>146</v>
      </c>
      <c r="B169" s="173"/>
      <c r="C169" s="173"/>
      <c r="D169" s="173"/>
      <c r="E169" s="173"/>
      <c r="F169" s="173"/>
      <c r="G169" s="173"/>
      <c r="H169" s="173"/>
      <c r="I169" s="174"/>
    </row>
    <row r="170" spans="1:9" s="66" customFormat="1" hidden="1" x14ac:dyDescent="0.25">
      <c r="A170" s="172" t="s">
        <v>147</v>
      </c>
      <c r="B170" s="173"/>
      <c r="C170" s="173"/>
      <c r="D170" s="173"/>
      <c r="E170" s="173"/>
      <c r="F170" s="173"/>
      <c r="G170" s="173"/>
      <c r="H170" s="173"/>
      <c r="I170" s="174"/>
    </row>
    <row r="171" spans="1:9" s="66" customFormat="1" hidden="1" x14ac:dyDescent="0.25">
      <c r="A171" s="172" t="s">
        <v>148</v>
      </c>
      <c r="B171" s="173"/>
      <c r="C171" s="173"/>
      <c r="D171" s="173"/>
      <c r="E171" s="173"/>
      <c r="F171" s="173"/>
      <c r="G171" s="173"/>
      <c r="H171" s="173"/>
      <c r="I171" s="174"/>
    </row>
    <row r="172" spans="1:9" s="66" customFormat="1" hidden="1" x14ac:dyDescent="0.25">
      <c r="A172" s="172" t="s">
        <v>149</v>
      </c>
      <c r="B172" s="173"/>
      <c r="C172" s="173"/>
      <c r="D172" s="173"/>
      <c r="E172" s="173"/>
      <c r="F172" s="173"/>
      <c r="G172" s="173"/>
      <c r="H172" s="173"/>
      <c r="I172" s="174"/>
    </row>
    <row r="173" spans="1:9" s="66" customFormat="1" hidden="1" x14ac:dyDescent="0.25">
      <c r="A173" s="172"/>
      <c r="B173" s="173"/>
      <c r="C173" s="173"/>
      <c r="D173" s="173"/>
      <c r="E173" s="173"/>
      <c r="F173" s="173"/>
      <c r="G173" s="173"/>
      <c r="H173" s="173"/>
      <c r="I173" s="174"/>
    </row>
    <row r="174" spans="1:9" s="66" customFormat="1" hidden="1" x14ac:dyDescent="0.25">
      <c r="A174" s="172"/>
      <c r="B174" s="173"/>
      <c r="C174" s="173"/>
      <c r="D174" s="173"/>
      <c r="E174" s="173"/>
      <c r="F174" s="173"/>
      <c r="G174" s="173"/>
      <c r="H174" s="173"/>
      <c r="I174" s="174"/>
    </row>
    <row r="175" spans="1:9" s="4" customFormat="1" ht="16.5" hidden="1" thickBot="1" x14ac:dyDescent="0.3">
      <c r="A175" s="175"/>
      <c r="B175" s="176"/>
      <c r="C175" s="176"/>
      <c r="D175" s="176"/>
      <c r="E175" s="176"/>
      <c r="F175" s="176"/>
      <c r="G175" s="176"/>
      <c r="H175" s="176"/>
      <c r="I175" s="177"/>
    </row>
    <row r="176" spans="1:9" s="4" customFormat="1" x14ac:dyDescent="0.25"/>
    <row r="177" s="4" customFormat="1" x14ac:dyDescent="0.25"/>
    <row r="178" s="4" customFormat="1" x14ac:dyDescent="0.25"/>
  </sheetData>
  <mergeCells count="17">
    <mergeCell ref="A5:I5"/>
    <mergeCell ref="A46:I46"/>
    <mergeCell ref="A1:I1"/>
    <mergeCell ref="A2:I2"/>
    <mergeCell ref="A4:I4"/>
    <mergeCell ref="A3:I3"/>
    <mergeCell ref="A138:I138"/>
    <mergeCell ref="A136:I136"/>
    <mergeCell ref="A135:I135"/>
    <mergeCell ref="A47:I47"/>
    <mergeCell ref="A137:I137"/>
    <mergeCell ref="A91:I91"/>
    <mergeCell ref="A92:I92"/>
    <mergeCell ref="A94:I94"/>
    <mergeCell ref="A93:I93"/>
    <mergeCell ref="A48:I48"/>
    <mergeCell ref="A50:I50"/>
  </mergeCells>
  <phoneticPr fontId="0" type="noConversion"/>
  <pageMargins left="0.3" right="0.15748031496062992" top="0.62" bottom="1.07" header="0.26" footer="0.31496062992125984"/>
  <pageSetup paperSize="9" scale="70" firstPageNumber="0"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zoomScaleNormal="100" workbookViewId="0">
      <selection activeCell="B48" sqref="B48"/>
    </sheetView>
  </sheetViews>
  <sheetFormatPr defaultRowHeight="15" x14ac:dyDescent="0.25"/>
  <cols>
    <col min="1" max="1" width="60.85546875" style="218" customWidth="1"/>
    <col min="2" max="2" width="15.5703125" style="218" bestFit="1" customWidth="1"/>
    <col min="3" max="3" width="16.5703125" style="218" bestFit="1" customWidth="1"/>
    <col min="4" max="4" width="15.5703125" style="218" hidden="1" customWidth="1"/>
    <col min="5" max="5" width="16.5703125" style="218" hidden="1" customWidth="1"/>
    <col min="6" max="16384" width="9.140625" style="218"/>
  </cols>
  <sheetData>
    <row r="1" spans="1:5" ht="15.75" x14ac:dyDescent="0.25">
      <c r="A1" s="327" t="s">
        <v>39</v>
      </c>
      <c r="B1" s="328"/>
      <c r="C1" s="328"/>
      <c r="D1" s="328"/>
      <c r="E1" s="329"/>
    </row>
    <row r="2" spans="1:5" ht="15.75" x14ac:dyDescent="0.25">
      <c r="A2" s="314" t="s">
        <v>262</v>
      </c>
      <c r="B2" s="315"/>
      <c r="C2" s="315"/>
      <c r="D2" s="315"/>
      <c r="E2" s="316"/>
    </row>
    <row r="3" spans="1:5" ht="15.75" x14ac:dyDescent="0.25">
      <c r="A3" s="314" t="s">
        <v>333</v>
      </c>
      <c r="B3" s="315"/>
      <c r="C3" s="315"/>
      <c r="D3" s="315"/>
      <c r="E3" s="316"/>
    </row>
    <row r="4" spans="1:5" ht="15.75" x14ac:dyDescent="0.25">
      <c r="A4" s="323"/>
      <c r="B4" s="324"/>
      <c r="C4" s="324"/>
      <c r="D4" s="324"/>
      <c r="E4" s="325"/>
    </row>
    <row r="5" spans="1:5" ht="15.75" x14ac:dyDescent="0.25">
      <c r="A5" s="219"/>
      <c r="B5" s="326" t="s">
        <v>320</v>
      </c>
      <c r="C5" s="326"/>
      <c r="D5" s="326" t="s">
        <v>263</v>
      </c>
      <c r="E5" s="326"/>
    </row>
    <row r="6" spans="1:5" ht="15.75" x14ac:dyDescent="0.25">
      <c r="A6" s="220" t="s">
        <v>1</v>
      </c>
      <c r="B6" s="221" t="s">
        <v>238</v>
      </c>
      <c r="C6" s="221" t="s">
        <v>237</v>
      </c>
      <c r="D6" s="221" t="s">
        <v>238</v>
      </c>
      <c r="E6" s="221" t="s">
        <v>237</v>
      </c>
    </row>
    <row r="7" spans="1:5" ht="15.75" x14ac:dyDescent="0.25">
      <c r="A7" s="222"/>
      <c r="B7" s="214" t="s">
        <v>336</v>
      </c>
      <c r="C7" s="214" t="s">
        <v>324</v>
      </c>
      <c r="D7" s="214" t="s">
        <v>324</v>
      </c>
      <c r="E7" s="214" t="s">
        <v>314</v>
      </c>
    </row>
    <row r="8" spans="1:5" ht="15.75" x14ac:dyDescent="0.25">
      <c r="A8" s="223"/>
      <c r="B8" s="224"/>
      <c r="C8" s="224" t="s">
        <v>252</v>
      </c>
      <c r="D8" s="224" t="s">
        <v>252</v>
      </c>
      <c r="E8" s="224" t="s">
        <v>252</v>
      </c>
    </row>
    <row r="9" spans="1:5" ht="15.75" x14ac:dyDescent="0.25">
      <c r="A9" s="225" t="s">
        <v>264</v>
      </c>
      <c r="B9" s="226"/>
      <c r="C9" s="226"/>
      <c r="D9" s="226"/>
      <c r="E9" s="226"/>
    </row>
    <row r="10" spans="1:5" ht="15.75" x14ac:dyDescent="0.25">
      <c r="A10" s="225" t="s">
        <v>265</v>
      </c>
      <c r="B10" s="229">
        <v>436292</v>
      </c>
      <c r="C10" s="229">
        <f>1021076069/1000</f>
        <v>1021076.069</v>
      </c>
      <c r="D10" s="228">
        <v>-62396789</v>
      </c>
      <c r="E10" s="228">
        <v>-31481922</v>
      </c>
    </row>
    <row r="11" spans="1:5" ht="15.75" x14ac:dyDescent="0.25">
      <c r="A11" s="227"/>
      <c r="B11" s="228"/>
      <c r="C11" s="228"/>
      <c r="D11" s="228"/>
      <c r="E11" s="228"/>
    </row>
    <row r="12" spans="1:5" ht="15.75" x14ac:dyDescent="0.25">
      <c r="A12" s="227" t="s">
        <v>266</v>
      </c>
      <c r="B12" s="228"/>
      <c r="C12" s="228"/>
      <c r="D12" s="228"/>
      <c r="E12" s="228"/>
    </row>
    <row r="13" spans="1:5" ht="15.75" x14ac:dyDescent="0.25">
      <c r="A13" s="227" t="s">
        <v>267</v>
      </c>
      <c r="B13" s="228">
        <v>3210.8980100000003</v>
      </c>
      <c r="C13" s="228">
        <f>-10766212/1000</f>
        <v>-10766.212</v>
      </c>
      <c r="D13" s="228">
        <f>109272682-D19</f>
        <v>104744856</v>
      </c>
      <c r="E13" s="228">
        <v>70409886</v>
      </c>
    </row>
    <row r="14" spans="1:5" ht="15.75" x14ac:dyDescent="0.25">
      <c r="A14" s="227" t="s">
        <v>268</v>
      </c>
      <c r="B14" s="228">
        <v>-618456</v>
      </c>
      <c r="C14" s="228">
        <f>7667774477/1000</f>
        <v>7667774.477</v>
      </c>
      <c r="D14" s="228">
        <f>18411525-38465699-72996449</f>
        <v>-93050623</v>
      </c>
      <c r="E14" s="228">
        <v>212285395</v>
      </c>
    </row>
    <row r="15" spans="1:5" ht="15.75" x14ac:dyDescent="0.25">
      <c r="A15" s="227" t="s">
        <v>269</v>
      </c>
      <c r="B15" s="228">
        <v>-1154489</v>
      </c>
      <c r="C15" s="228">
        <f>2240741857/1000</f>
        <v>2240741.8569999998</v>
      </c>
      <c r="D15" s="228">
        <f>54891845-68695907+55224295</f>
        <v>41420233</v>
      </c>
      <c r="E15" s="228">
        <v>-256415661</v>
      </c>
    </row>
    <row r="16" spans="1:5" ht="15.75" x14ac:dyDescent="0.25">
      <c r="A16" s="227" t="s">
        <v>270</v>
      </c>
      <c r="B16" s="228">
        <v>0</v>
      </c>
      <c r="C16" s="228">
        <f>-1115000/1000</f>
        <v>-1115</v>
      </c>
      <c r="D16" s="228">
        <v>0</v>
      </c>
      <c r="E16" s="228">
        <v>0</v>
      </c>
    </row>
    <row r="17" spans="1:5" ht="15.75" x14ac:dyDescent="0.25">
      <c r="A17" s="227" t="s">
        <v>271</v>
      </c>
      <c r="B17" s="228">
        <v>-156.05199999999999</v>
      </c>
      <c r="C17" s="228">
        <v>0</v>
      </c>
      <c r="D17" s="228">
        <v>0</v>
      </c>
      <c r="E17" s="228">
        <v>0</v>
      </c>
    </row>
    <row r="18" spans="1:5" ht="15.75" x14ac:dyDescent="0.25">
      <c r="A18" s="227" t="s">
        <v>272</v>
      </c>
      <c r="B18" s="228">
        <v>0</v>
      </c>
      <c r="C18" s="228">
        <v>0</v>
      </c>
      <c r="D18" s="228">
        <v>0</v>
      </c>
      <c r="E18" s="228">
        <v>0</v>
      </c>
    </row>
    <row r="19" spans="1:5" ht="15.75" x14ac:dyDescent="0.25">
      <c r="A19" s="227" t="s">
        <v>273</v>
      </c>
      <c r="B19" s="228">
        <v>0</v>
      </c>
      <c r="C19" s="228">
        <v>0</v>
      </c>
      <c r="D19" s="228">
        <v>4527826</v>
      </c>
      <c r="E19" s="228">
        <v>4487038</v>
      </c>
    </row>
    <row r="20" spans="1:5" ht="15.75" x14ac:dyDescent="0.25">
      <c r="A20" s="227" t="s">
        <v>274</v>
      </c>
      <c r="B20" s="228">
        <v>0</v>
      </c>
      <c r="C20" s="228">
        <v>0</v>
      </c>
      <c r="D20" s="228">
        <v>0</v>
      </c>
      <c r="E20" s="228">
        <v>0</v>
      </c>
    </row>
    <row r="21" spans="1:5" ht="15.75" x14ac:dyDescent="0.25">
      <c r="A21" s="227" t="s">
        <v>275</v>
      </c>
      <c r="B21" s="228">
        <f>0/1000</f>
        <v>0</v>
      </c>
      <c r="C21" s="228">
        <f>0/1000</f>
        <v>0</v>
      </c>
      <c r="D21" s="228">
        <v>0</v>
      </c>
      <c r="E21" s="228">
        <v>0</v>
      </c>
    </row>
    <row r="22" spans="1:5" ht="15.75" x14ac:dyDescent="0.25">
      <c r="A22" s="227" t="s">
        <v>276</v>
      </c>
      <c r="B22" s="228">
        <v>-73808.605710000018</v>
      </c>
      <c r="C22" s="228">
        <f>-270576126/1000</f>
        <v>-270576.12599999999</v>
      </c>
      <c r="D22" s="228">
        <v>-13178267</v>
      </c>
      <c r="E22" s="228">
        <v>-4334237</v>
      </c>
    </row>
    <row r="23" spans="1:5" ht="15.75" x14ac:dyDescent="0.25">
      <c r="A23" s="225" t="s">
        <v>277</v>
      </c>
      <c r="B23" s="229">
        <f>SUM(B10:B22)</f>
        <v>-1407406.7596999998</v>
      </c>
      <c r="C23" s="229">
        <f>SUM(C10:C22)</f>
        <v>10647135.064999999</v>
      </c>
      <c r="D23" s="229">
        <f>SUM(D10:D22)</f>
        <v>-17932764</v>
      </c>
      <c r="E23" s="229">
        <v>-5049501</v>
      </c>
    </row>
    <row r="24" spans="1:5" ht="15.75" x14ac:dyDescent="0.25">
      <c r="A24" s="227"/>
      <c r="B24" s="228"/>
      <c r="C24" s="228"/>
      <c r="D24" s="228"/>
      <c r="E24" s="228"/>
    </row>
    <row r="25" spans="1:5" ht="15.75" x14ac:dyDescent="0.25">
      <c r="A25" s="225" t="s">
        <v>278</v>
      </c>
      <c r="B25" s="229"/>
      <c r="C25" s="229"/>
      <c r="D25" s="229"/>
      <c r="E25" s="229"/>
    </row>
    <row r="26" spans="1:5" ht="15.75" x14ac:dyDescent="0.25">
      <c r="A26" s="227" t="s">
        <v>279</v>
      </c>
      <c r="B26" s="228">
        <v>-2055.855</v>
      </c>
      <c r="C26" s="228">
        <f>-3157547/1000</f>
        <v>-3157.547</v>
      </c>
      <c r="D26" s="228">
        <v>-1217411</v>
      </c>
      <c r="E26" s="228">
        <v>-1418370</v>
      </c>
    </row>
    <row r="27" spans="1:5" ht="15.75" x14ac:dyDescent="0.25">
      <c r="A27" s="227" t="s">
        <v>280</v>
      </c>
      <c r="B27" s="228">
        <v>0</v>
      </c>
      <c r="C27" s="228">
        <v>0</v>
      </c>
      <c r="D27" s="228">
        <v>66816</v>
      </c>
      <c r="E27" s="228">
        <v>69794</v>
      </c>
    </row>
    <row r="28" spans="1:5" ht="15.75" x14ac:dyDescent="0.25">
      <c r="A28" s="227" t="s">
        <v>281</v>
      </c>
      <c r="B28" s="228">
        <v>597067</v>
      </c>
      <c r="C28" s="228">
        <f>-914703956/1000</f>
        <v>-914703.95600000001</v>
      </c>
      <c r="D28" s="228">
        <v>0</v>
      </c>
      <c r="E28" s="228">
        <v>0</v>
      </c>
    </row>
    <row r="29" spans="1:5" ht="15.75" x14ac:dyDescent="0.25">
      <c r="A29" s="227" t="s">
        <v>282</v>
      </c>
      <c r="B29" s="228">
        <v>0</v>
      </c>
      <c r="C29" s="228">
        <v>0</v>
      </c>
      <c r="D29" s="228">
        <v>0</v>
      </c>
      <c r="E29" s="228">
        <v>0</v>
      </c>
    </row>
    <row r="30" spans="1:5" ht="15.75" x14ac:dyDescent="0.25">
      <c r="A30" s="227" t="s">
        <v>283</v>
      </c>
      <c r="B30" s="228">
        <v>0</v>
      </c>
      <c r="C30" s="228">
        <v>0</v>
      </c>
      <c r="D30" s="228">
        <v>0</v>
      </c>
      <c r="E30" s="228">
        <v>0</v>
      </c>
    </row>
    <row r="31" spans="1:5" ht="15.75" x14ac:dyDescent="0.25">
      <c r="A31" s="227" t="s">
        <v>284</v>
      </c>
      <c r="B31" s="228">
        <v>0</v>
      </c>
      <c r="C31" s="228">
        <v>0</v>
      </c>
      <c r="D31" s="228">
        <v>0</v>
      </c>
      <c r="E31" s="228">
        <v>0</v>
      </c>
    </row>
    <row r="32" spans="1:5" ht="15.75" x14ac:dyDescent="0.25">
      <c r="A32" s="227" t="s">
        <v>285</v>
      </c>
      <c r="B32" s="228">
        <v>0</v>
      </c>
      <c r="C32" s="228">
        <v>0</v>
      </c>
      <c r="D32" s="228">
        <v>0</v>
      </c>
      <c r="E32" s="228">
        <v>0</v>
      </c>
    </row>
    <row r="33" spans="1:5" ht="15.75" x14ac:dyDescent="0.25">
      <c r="A33" s="227" t="s">
        <v>286</v>
      </c>
      <c r="B33" s="228">
        <v>0</v>
      </c>
      <c r="C33" s="228">
        <v>0</v>
      </c>
      <c r="D33" s="228">
        <v>0</v>
      </c>
      <c r="E33" s="228">
        <v>0</v>
      </c>
    </row>
    <row r="34" spans="1:5" ht="15.75" x14ac:dyDescent="0.25">
      <c r="A34" s="227" t="s">
        <v>287</v>
      </c>
      <c r="B34" s="228">
        <v>0</v>
      </c>
      <c r="C34" s="228">
        <v>0</v>
      </c>
      <c r="D34" s="228">
        <v>0</v>
      </c>
      <c r="E34" s="228">
        <v>0</v>
      </c>
    </row>
    <row r="35" spans="1:5" ht="15.75" x14ac:dyDescent="0.25">
      <c r="A35" s="227" t="s">
        <v>288</v>
      </c>
      <c r="B35" s="228">
        <v>0</v>
      </c>
      <c r="C35" s="228">
        <f>1115000/1000</f>
        <v>1115</v>
      </c>
      <c r="D35" s="228">
        <v>0</v>
      </c>
      <c r="E35" s="228">
        <v>0</v>
      </c>
    </row>
    <row r="36" spans="1:5" ht="15.75" x14ac:dyDescent="0.25">
      <c r="A36" s="227" t="s">
        <v>289</v>
      </c>
      <c r="B36" s="228">
        <v>0</v>
      </c>
      <c r="C36" s="228">
        <v>0</v>
      </c>
      <c r="D36" s="228">
        <v>0</v>
      </c>
      <c r="E36" s="228">
        <v>0</v>
      </c>
    </row>
    <row r="37" spans="1:5" ht="15.75" x14ac:dyDescent="0.25">
      <c r="A37" s="225" t="s">
        <v>290</v>
      </c>
      <c r="B37" s="229">
        <f>SUM(B26:B36)</f>
        <v>595011.14500000002</v>
      </c>
      <c r="C37" s="229">
        <f>SUM(C26:C36)</f>
        <v>-916746.50300000003</v>
      </c>
      <c r="D37" s="229">
        <f>SUM(D26:D36)</f>
        <v>-1150595</v>
      </c>
      <c r="E37" s="229">
        <v>-1348576</v>
      </c>
    </row>
    <row r="38" spans="1:5" ht="15.75" x14ac:dyDescent="0.25">
      <c r="A38" s="227"/>
      <c r="B38" s="228"/>
      <c r="C38" s="228"/>
      <c r="D38" s="228"/>
      <c r="E38" s="228"/>
    </row>
    <row r="39" spans="1:5" ht="15.75" x14ac:dyDescent="0.25">
      <c r="A39" s="225" t="s">
        <v>291</v>
      </c>
      <c r="B39" s="228"/>
      <c r="C39" s="228"/>
      <c r="D39" s="228"/>
      <c r="E39" s="228"/>
    </row>
    <row r="40" spans="1:5" ht="15.75" x14ac:dyDescent="0.25">
      <c r="A40" s="227" t="s">
        <v>292</v>
      </c>
      <c r="B40" s="228">
        <v>0</v>
      </c>
      <c r="C40" s="228">
        <v>0</v>
      </c>
      <c r="D40" s="228">
        <v>57940000</v>
      </c>
      <c r="E40" s="228">
        <v>29129418</v>
      </c>
    </row>
    <row r="41" spans="1:5" ht="15.75" x14ac:dyDescent="0.25">
      <c r="A41" s="227" t="s">
        <v>293</v>
      </c>
      <c r="B41" s="228">
        <v>0</v>
      </c>
      <c r="C41" s="228">
        <v>0</v>
      </c>
      <c r="D41" s="228">
        <v>0</v>
      </c>
      <c r="E41" s="228">
        <v>0</v>
      </c>
    </row>
    <row r="42" spans="1:5" ht="15.75" x14ac:dyDescent="0.25">
      <c r="A42" s="227" t="s">
        <v>294</v>
      </c>
      <c r="B42" s="228">
        <v>0</v>
      </c>
      <c r="C42" s="228">
        <v>0</v>
      </c>
      <c r="D42" s="228">
        <v>0</v>
      </c>
      <c r="E42" s="228">
        <v>-15300000</v>
      </c>
    </row>
    <row r="43" spans="1:5" ht="15.75" x14ac:dyDescent="0.25">
      <c r="A43" s="227" t="s">
        <v>295</v>
      </c>
      <c r="B43" s="228">
        <v>0</v>
      </c>
      <c r="C43" s="228">
        <v>0</v>
      </c>
      <c r="D43" s="228">
        <v>0</v>
      </c>
      <c r="E43" s="228">
        <v>8000000</v>
      </c>
    </row>
    <row r="44" spans="1:5" ht="15.75" x14ac:dyDescent="0.25">
      <c r="A44" s="227" t="s">
        <v>296</v>
      </c>
      <c r="B44" s="228">
        <v>0</v>
      </c>
      <c r="C44" s="228">
        <v>0</v>
      </c>
      <c r="D44" s="228">
        <f>-4637058-1000000</f>
        <v>-5637058</v>
      </c>
      <c r="E44" s="228">
        <v>-5663374</v>
      </c>
    </row>
    <row r="45" spans="1:5" ht="15.75" x14ac:dyDescent="0.25">
      <c r="A45" s="227" t="s">
        <v>297</v>
      </c>
      <c r="B45" s="228">
        <v>0</v>
      </c>
      <c r="C45" s="228">
        <v>0</v>
      </c>
      <c r="D45" s="228">
        <v>0</v>
      </c>
      <c r="E45" s="228">
        <v>0</v>
      </c>
    </row>
    <row r="46" spans="1:5" ht="15.75" x14ac:dyDescent="0.25">
      <c r="A46" s="227" t="s">
        <v>298</v>
      </c>
      <c r="B46" s="228">
        <v>0</v>
      </c>
      <c r="C46" s="228">
        <v>0</v>
      </c>
      <c r="D46" s="228">
        <v>0</v>
      </c>
      <c r="E46" s="228">
        <v>0</v>
      </c>
    </row>
    <row r="47" spans="1:5" ht="15.75" x14ac:dyDescent="0.25">
      <c r="A47" s="227" t="s">
        <v>299</v>
      </c>
      <c r="B47" s="228">
        <v>0</v>
      </c>
      <c r="C47" s="228">
        <v>0</v>
      </c>
      <c r="D47" s="228">
        <v>0</v>
      </c>
      <c r="E47" s="228">
        <v>0</v>
      </c>
    </row>
    <row r="48" spans="1:5" ht="15.75" x14ac:dyDescent="0.25">
      <c r="A48" s="227" t="s">
        <v>300</v>
      </c>
      <c r="B48" s="228">
        <v>2218824.1875660033</v>
      </c>
      <c r="C48" s="228">
        <f>-15240726317/1000</f>
        <v>-15240726.317</v>
      </c>
      <c r="D48" s="228">
        <v>0</v>
      </c>
      <c r="E48" s="228">
        <v>0</v>
      </c>
    </row>
    <row r="49" spans="1:10" ht="15.75" x14ac:dyDescent="0.25">
      <c r="A49" s="225" t="s">
        <v>301</v>
      </c>
      <c r="B49" s="229">
        <f>SUM(B40:B48)</f>
        <v>2218824.1875660033</v>
      </c>
      <c r="C49" s="229">
        <f>SUM(C40:C48)</f>
        <v>-15240726.317</v>
      </c>
      <c r="D49" s="229">
        <f>SUM(D40:D48)</f>
        <v>52302942</v>
      </c>
      <c r="E49" s="229">
        <v>16166044</v>
      </c>
    </row>
    <row r="50" spans="1:10" ht="15.75" x14ac:dyDescent="0.25">
      <c r="A50" s="225"/>
      <c r="B50" s="228"/>
      <c r="C50" s="228"/>
      <c r="D50" s="228"/>
      <c r="E50" s="228"/>
    </row>
    <row r="51" spans="1:10" ht="15.75" x14ac:dyDescent="0.25">
      <c r="A51" s="225" t="s">
        <v>302</v>
      </c>
      <c r="B51" s="229">
        <f>+B23+B37+B49</f>
        <v>1406428.5728660035</v>
      </c>
      <c r="C51" s="229">
        <f>+C23+C37+C49</f>
        <v>-5510337.7550000008</v>
      </c>
      <c r="D51" s="229">
        <f>+D23+D37+D49</f>
        <v>33219583</v>
      </c>
      <c r="E51" s="229">
        <v>9767967</v>
      </c>
    </row>
    <row r="52" spans="1:10" ht="15.75" x14ac:dyDescent="0.25">
      <c r="A52" s="227" t="s">
        <v>303</v>
      </c>
      <c r="B52" s="228">
        <v>16929790</v>
      </c>
      <c r="C52" s="228">
        <v>22440128</v>
      </c>
      <c r="D52" s="228">
        <f>+E54</f>
        <v>232230325</v>
      </c>
      <c r="E52" s="228">
        <v>222462358</v>
      </c>
    </row>
    <row r="53" spans="1:10" ht="15.75" x14ac:dyDescent="0.25">
      <c r="A53" s="227" t="s">
        <v>304</v>
      </c>
      <c r="B53" s="228"/>
      <c r="C53" s="228"/>
      <c r="D53" s="228"/>
      <c r="E53" s="228"/>
      <c r="J53" s="218" t="s">
        <v>227</v>
      </c>
    </row>
    <row r="54" spans="1:10" ht="15.75" x14ac:dyDescent="0.25">
      <c r="A54" s="225" t="s">
        <v>305</v>
      </c>
      <c r="B54" s="229">
        <f>SUM(B51:B53)</f>
        <v>18336218.572866004</v>
      </c>
      <c r="C54" s="229">
        <f>SUM(C51:C53)</f>
        <v>16929790.244999997</v>
      </c>
      <c r="D54" s="229">
        <f>SUM(D51:D53)</f>
        <v>265449908</v>
      </c>
      <c r="E54" s="229">
        <v>232230325</v>
      </c>
    </row>
    <row r="55" spans="1:10" x14ac:dyDescent="0.25">
      <c r="C55" s="230"/>
    </row>
  </sheetData>
  <mergeCells count="6">
    <mergeCell ref="A4:E4"/>
    <mergeCell ref="B5:C5"/>
    <mergeCell ref="D5:E5"/>
    <mergeCell ref="A1:E1"/>
    <mergeCell ref="A2:E2"/>
    <mergeCell ref="A3:E3"/>
  </mergeCells>
  <pageMargins left="0.51" right="0.17" top="0.45" bottom="0.34" header="0.3" footer="0.18"/>
  <pageSetup paperSize="9" scale="77"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3"/>
  <sheetViews>
    <sheetView zoomScaleNormal="100" workbookViewId="0">
      <selection activeCell="B6" sqref="B6"/>
    </sheetView>
  </sheetViews>
  <sheetFormatPr defaultRowHeight="15.75" x14ac:dyDescent="0.25"/>
  <cols>
    <col min="1" max="1" width="50.140625" style="3" customWidth="1"/>
    <col min="2" max="2" width="14.7109375" style="3" customWidth="1"/>
    <col min="3" max="3" width="14.28515625" style="3" customWidth="1"/>
    <col min="4" max="4" width="14.5703125" style="3" customWidth="1"/>
    <col min="5" max="5" width="14.42578125" style="3" customWidth="1"/>
    <col min="6" max="16384" width="9.140625" style="3"/>
  </cols>
  <sheetData>
    <row r="1" spans="1:5" x14ac:dyDescent="0.25">
      <c r="A1" s="335" t="s">
        <v>39</v>
      </c>
      <c r="B1" s="335"/>
      <c r="C1" s="335"/>
      <c r="D1" s="335"/>
      <c r="E1" s="335"/>
    </row>
    <row r="2" spans="1:5" x14ac:dyDescent="0.25">
      <c r="A2" s="335" t="s">
        <v>255</v>
      </c>
      <c r="B2" s="335"/>
      <c r="C2" s="335"/>
      <c r="D2" s="335"/>
      <c r="E2" s="335"/>
    </row>
    <row r="3" spans="1:5" x14ac:dyDescent="0.25">
      <c r="A3" s="335" t="s">
        <v>337</v>
      </c>
      <c r="B3" s="335"/>
      <c r="C3" s="335"/>
      <c r="D3" s="335"/>
      <c r="E3" s="335"/>
    </row>
    <row r="4" spans="1:5" ht="8.25" customHeight="1" x14ac:dyDescent="0.25">
      <c r="A4" s="31"/>
      <c r="B4" s="31"/>
      <c r="C4" s="31"/>
      <c r="D4" s="31"/>
      <c r="E4" s="31"/>
    </row>
    <row r="5" spans="1:5" x14ac:dyDescent="0.25">
      <c r="A5" s="337" t="s">
        <v>316</v>
      </c>
      <c r="B5" s="336" t="s">
        <v>34</v>
      </c>
      <c r="C5" s="336"/>
      <c r="D5" s="326" t="s">
        <v>45</v>
      </c>
      <c r="E5" s="326"/>
    </row>
    <row r="6" spans="1:5" x14ac:dyDescent="0.25">
      <c r="A6" s="338"/>
      <c r="B6" s="259" t="s">
        <v>339</v>
      </c>
      <c r="C6" s="259" t="s">
        <v>325</v>
      </c>
      <c r="D6" s="259" t="s">
        <v>339</v>
      </c>
      <c r="E6" s="259" t="s">
        <v>325</v>
      </c>
    </row>
    <row r="7" spans="1:5" ht="39.75" customHeight="1" x14ac:dyDescent="0.25">
      <c r="A7" s="26" t="s">
        <v>160</v>
      </c>
      <c r="B7" s="208" t="s">
        <v>331</v>
      </c>
      <c r="C7" s="208" t="s">
        <v>306</v>
      </c>
      <c r="D7" s="208" t="s">
        <v>332</v>
      </c>
      <c r="E7" s="208" t="s">
        <v>251</v>
      </c>
    </row>
    <row r="8" spans="1:5" x14ac:dyDescent="0.25">
      <c r="A8" s="27" t="s">
        <v>253</v>
      </c>
      <c r="B8" s="109">
        <f>8916334.356207/1000</f>
        <v>8916.3343562070004</v>
      </c>
      <c r="C8" s="109">
        <f>8526438.13648874/1000</f>
        <v>8526.4381364887395</v>
      </c>
      <c r="D8" s="148">
        <v>91115</v>
      </c>
      <c r="E8" s="148">
        <v>96663</v>
      </c>
    </row>
    <row r="9" spans="1:5" x14ac:dyDescent="0.25">
      <c r="A9" s="27" t="s">
        <v>254</v>
      </c>
      <c r="B9" s="109">
        <f>8951237.234804/1000</f>
        <v>8951.2372348040008</v>
      </c>
      <c r="C9" s="109">
        <f>8553413.17734874/1000</f>
        <v>8553.4131773487406</v>
      </c>
      <c r="D9" s="148">
        <v>116784</v>
      </c>
      <c r="E9" s="148">
        <v>124829</v>
      </c>
    </row>
    <row r="10" spans="1:5" x14ac:dyDescent="0.25">
      <c r="A10" s="27" t="s">
        <v>163</v>
      </c>
      <c r="B10" s="27"/>
      <c r="C10" s="27"/>
      <c r="D10" s="227"/>
      <c r="E10" s="227"/>
    </row>
    <row r="11" spans="1:5" x14ac:dyDescent="0.25">
      <c r="A11" s="27" t="s">
        <v>161</v>
      </c>
      <c r="B11" s="156">
        <v>0.70030000000000003</v>
      </c>
      <c r="C11" s="156">
        <v>0.67869999999999997</v>
      </c>
      <c r="D11" s="216">
        <v>7.1099999999999997E-2</v>
      </c>
      <c r="E11" s="216">
        <v>7.17E-2</v>
      </c>
    </row>
    <row r="12" spans="1:5" x14ac:dyDescent="0.25">
      <c r="A12" s="27" t="s">
        <v>162</v>
      </c>
      <c r="B12" s="156"/>
      <c r="C12" s="156"/>
      <c r="D12" s="147"/>
      <c r="E12" s="147"/>
    </row>
    <row r="13" spans="1:5" x14ac:dyDescent="0.25">
      <c r="A13" s="27" t="s">
        <v>164</v>
      </c>
      <c r="B13" s="156">
        <v>0.70309999999999995</v>
      </c>
      <c r="C13" s="156">
        <v>0.68079999999999996</v>
      </c>
      <c r="D13" s="216">
        <v>9.1600000000000001E-2</v>
      </c>
      <c r="E13" s="216">
        <v>9.2499999999999999E-2</v>
      </c>
    </row>
    <row r="14" spans="1:5" x14ac:dyDescent="0.25">
      <c r="A14" s="27"/>
      <c r="B14" s="213"/>
      <c r="C14" s="213"/>
      <c r="D14" s="147"/>
      <c r="E14" s="147"/>
    </row>
    <row r="15" spans="1:5" x14ac:dyDescent="0.25">
      <c r="A15" s="26" t="s">
        <v>165</v>
      </c>
      <c r="B15" s="147"/>
      <c r="C15" s="147"/>
      <c r="D15" s="147"/>
      <c r="E15" s="147"/>
    </row>
    <row r="16" spans="1:5" x14ac:dyDescent="0.25">
      <c r="A16" s="27" t="s">
        <v>166</v>
      </c>
      <c r="B16" s="215">
        <v>1.7999999999999999E-2</v>
      </c>
      <c r="C16" s="215">
        <v>2.4899999999999999E-2</v>
      </c>
      <c r="D16" s="216">
        <v>0.24729999999999999</v>
      </c>
      <c r="E16" s="216">
        <v>0.25280000000000002</v>
      </c>
    </row>
    <row r="17" spans="1:5" x14ac:dyDescent="0.25">
      <c r="A17" s="27" t="s">
        <v>167</v>
      </c>
      <c r="B17" s="147"/>
      <c r="C17" s="147"/>
      <c r="D17" s="147"/>
      <c r="E17" s="147"/>
    </row>
    <row r="18" spans="1:5" x14ac:dyDescent="0.25">
      <c r="A18" s="27" t="s">
        <v>168</v>
      </c>
      <c r="B18" s="215">
        <v>6.4000000000000003E-3</v>
      </c>
      <c r="C18" s="215">
        <v>1.0999999999999999E-2</v>
      </c>
      <c r="D18" s="246">
        <v>0.1434</v>
      </c>
      <c r="E18" s="246">
        <v>0.15329999999999999</v>
      </c>
    </row>
    <row r="19" spans="1:5" x14ac:dyDescent="0.25">
      <c r="A19" s="27" t="s">
        <v>169</v>
      </c>
      <c r="B19" s="147"/>
      <c r="C19" s="147"/>
      <c r="D19" s="147"/>
      <c r="E19" s="147"/>
    </row>
    <row r="20" spans="1:5" x14ac:dyDescent="0.25">
      <c r="A20" s="27"/>
      <c r="B20" s="147"/>
      <c r="C20" s="147"/>
      <c r="D20" s="147"/>
      <c r="E20" s="147"/>
    </row>
    <row r="21" spans="1:5" x14ac:dyDescent="0.25">
      <c r="A21" s="26" t="s">
        <v>170</v>
      </c>
      <c r="B21" s="147"/>
      <c r="C21" s="147"/>
      <c r="D21" s="147"/>
      <c r="E21" s="147"/>
    </row>
    <row r="22" spans="1:5" x14ac:dyDescent="0.25">
      <c r="A22" s="27" t="s">
        <v>171</v>
      </c>
      <c r="B22" s="216">
        <v>3.6900000000000002E-2</v>
      </c>
      <c r="C22" s="216">
        <v>2.9899999999999999E-2</v>
      </c>
      <c r="D22" s="216">
        <v>1.9099999999999999E-2</v>
      </c>
      <c r="E22" s="216">
        <v>2.1899999999999999E-2</v>
      </c>
    </row>
    <row r="23" spans="1:5" x14ac:dyDescent="0.25">
      <c r="A23" s="27" t="s">
        <v>172</v>
      </c>
      <c r="B23" s="216">
        <v>2.2700000000000001E-2</v>
      </c>
      <c r="C23" s="216">
        <v>1.9E-2</v>
      </c>
      <c r="D23" s="147"/>
      <c r="E23" s="147"/>
    </row>
    <row r="24" spans="1:5" x14ac:dyDescent="0.25">
      <c r="A24" s="27" t="s">
        <v>173</v>
      </c>
      <c r="B24" s="216">
        <v>7.2599999999999998E-2</v>
      </c>
      <c r="C24" s="216">
        <v>9.8000000000000004E-2</v>
      </c>
      <c r="D24" s="147"/>
      <c r="E24" s="147"/>
    </row>
    <row r="25" spans="1:5" x14ac:dyDescent="0.25">
      <c r="A25" s="27"/>
      <c r="B25" s="147"/>
      <c r="C25" s="147"/>
      <c r="D25" s="147"/>
      <c r="E25" s="147"/>
    </row>
    <row r="26" spans="1:5" x14ac:dyDescent="0.25">
      <c r="A26" s="26" t="s">
        <v>174</v>
      </c>
      <c r="B26" s="108"/>
      <c r="C26" s="108"/>
      <c r="D26" s="147"/>
      <c r="E26" s="147"/>
    </row>
    <row r="27" spans="1:5" x14ac:dyDescent="0.25">
      <c r="A27" s="27" t="s">
        <v>175</v>
      </c>
      <c r="B27" s="148">
        <f>+(10178490.4232483+74217.8504586667*169.1)/1000</f>
        <v>22728.728935808838</v>
      </c>
      <c r="C27" s="148">
        <f>+(8711991+126971*155.6)/1000</f>
        <v>28468.678599999999</v>
      </c>
      <c r="D27" s="148">
        <v>658686</v>
      </c>
      <c r="E27" s="148">
        <v>596859</v>
      </c>
    </row>
    <row r="28" spans="1:5" x14ac:dyDescent="0.25">
      <c r="A28" s="27" t="s">
        <v>176</v>
      </c>
      <c r="B28" s="109"/>
      <c r="C28" s="109"/>
      <c r="D28" s="148"/>
      <c r="E28" s="148"/>
    </row>
    <row r="29" spans="1:5" x14ac:dyDescent="0.25">
      <c r="A29" s="27" t="s">
        <v>177</v>
      </c>
      <c r="B29" s="108"/>
      <c r="C29" s="108"/>
      <c r="D29" s="147"/>
      <c r="E29" s="147"/>
    </row>
    <row r="30" spans="1:5" x14ac:dyDescent="0.25">
      <c r="A30" s="27" t="s">
        <v>178</v>
      </c>
      <c r="B30" s="156">
        <v>1.5024999999999999</v>
      </c>
      <c r="C30" s="156">
        <v>1.9918</v>
      </c>
      <c r="D30" s="147"/>
      <c r="E30" s="147"/>
    </row>
    <row r="31" spans="1:5" x14ac:dyDescent="0.25">
      <c r="A31" s="27" t="s">
        <v>179</v>
      </c>
      <c r="B31" s="156">
        <v>1.0057</v>
      </c>
      <c r="C31" s="156">
        <v>0.66590000000000005</v>
      </c>
      <c r="D31" s="147"/>
      <c r="E31" s="147"/>
    </row>
    <row r="32" spans="1:5" ht="15.75" customHeight="1" x14ac:dyDescent="0.25">
      <c r="A32" s="22"/>
      <c r="B32" s="4"/>
      <c r="C32" s="4"/>
      <c r="D32" s="4"/>
      <c r="E32" s="4"/>
    </row>
    <row r="33" spans="1:5" hidden="1" x14ac:dyDescent="0.25">
      <c r="A33" s="157" t="s">
        <v>256</v>
      </c>
      <c r="B33" s="158"/>
      <c r="C33" s="158"/>
      <c r="D33" s="159"/>
      <c r="E33" s="159"/>
    </row>
    <row r="34" spans="1:5" hidden="1" x14ac:dyDescent="0.25">
      <c r="A34" s="157"/>
      <c r="B34" s="158"/>
      <c r="C34" s="158"/>
      <c r="D34" s="159"/>
      <c r="E34" s="159"/>
    </row>
    <row r="35" spans="1:5" ht="126.75" hidden="1" customHeight="1" x14ac:dyDescent="0.25">
      <c r="A35" s="331" t="s">
        <v>307</v>
      </c>
      <c r="B35" s="331"/>
      <c r="C35" s="331"/>
      <c r="D35" s="331"/>
      <c r="E35" s="331"/>
    </row>
    <row r="36" spans="1:5" hidden="1" x14ac:dyDescent="0.25">
      <c r="A36" s="153"/>
      <c r="B36" s="153"/>
      <c r="C36" s="153"/>
      <c r="D36" s="153"/>
      <c r="E36" s="153"/>
    </row>
    <row r="37" spans="1:5" hidden="1" x14ac:dyDescent="0.25">
      <c r="A37" s="22" t="s">
        <v>257</v>
      </c>
      <c r="B37" s="4"/>
      <c r="C37" s="4"/>
      <c r="D37" s="4"/>
      <c r="E37" s="4"/>
    </row>
    <row r="38" spans="1:5" hidden="1" x14ac:dyDescent="0.25">
      <c r="A38" s="22"/>
      <c r="B38" s="4"/>
      <c r="C38" s="4"/>
      <c r="D38" s="4"/>
      <c r="E38" s="4"/>
    </row>
    <row r="39" spans="1:5" ht="192.75" hidden="1" customHeight="1" x14ac:dyDescent="0.25">
      <c r="A39" s="330" t="s">
        <v>328</v>
      </c>
      <c r="B39" s="330"/>
      <c r="C39" s="330"/>
      <c r="D39" s="330"/>
      <c r="E39" s="330"/>
    </row>
    <row r="40" spans="1:5" hidden="1" x14ac:dyDescent="0.25">
      <c r="A40" s="152"/>
      <c r="B40" s="153"/>
      <c r="C40" s="153"/>
      <c r="D40" s="153"/>
      <c r="E40" s="153"/>
    </row>
    <row r="41" spans="1:5" ht="15" customHeight="1" x14ac:dyDescent="0.25">
      <c r="A41" s="22" t="s">
        <v>232</v>
      </c>
      <c r="B41" s="15"/>
      <c r="C41" s="15"/>
      <c r="D41" s="15"/>
      <c r="E41" s="15"/>
    </row>
    <row r="42" spans="1:5" x14ac:dyDescent="0.25">
      <c r="A42" s="22"/>
      <c r="B42" s="15"/>
      <c r="C42" s="15"/>
      <c r="D42" s="15"/>
      <c r="E42" s="15"/>
    </row>
    <row r="43" spans="1:5" ht="81" customHeight="1" x14ac:dyDescent="0.25">
      <c r="A43" s="331" t="s">
        <v>259</v>
      </c>
      <c r="B43" s="332"/>
      <c r="C43" s="332"/>
      <c r="D43" s="332"/>
      <c r="E43" s="332"/>
    </row>
    <row r="44" spans="1:5" ht="31.5" customHeight="1" x14ac:dyDescent="0.25">
      <c r="A44" s="330" t="s">
        <v>319</v>
      </c>
      <c r="B44" s="334"/>
      <c r="C44" s="334"/>
      <c r="D44" s="334"/>
      <c r="E44" s="334"/>
    </row>
    <row r="45" spans="1:5" x14ac:dyDescent="0.25">
      <c r="A45" s="152"/>
      <c r="B45" s="153"/>
      <c r="C45" s="153"/>
      <c r="D45" s="153"/>
      <c r="E45" s="153"/>
    </row>
    <row r="46" spans="1:5" x14ac:dyDescent="0.25">
      <c r="A46" s="152"/>
      <c r="B46" s="153"/>
      <c r="C46" s="153"/>
      <c r="D46" s="153"/>
      <c r="E46" s="153"/>
    </row>
    <row r="47" spans="1:5" x14ac:dyDescent="0.25">
      <c r="A47" s="152"/>
      <c r="B47" s="153"/>
      <c r="C47" s="153"/>
      <c r="D47" s="153"/>
      <c r="E47" s="153"/>
    </row>
    <row r="48" spans="1:5" x14ac:dyDescent="0.25">
      <c r="A48" s="152"/>
      <c r="B48" s="153"/>
      <c r="C48" s="153"/>
      <c r="D48" s="153"/>
      <c r="E48" s="153"/>
    </row>
    <row r="49" spans="1:5" x14ac:dyDescent="0.25">
      <c r="A49" s="152"/>
      <c r="B49" s="153"/>
      <c r="C49" s="153"/>
      <c r="D49" s="153"/>
      <c r="E49" s="153"/>
    </row>
    <row r="50" spans="1:5" x14ac:dyDescent="0.25">
      <c r="A50" s="2" t="s">
        <v>326</v>
      </c>
      <c r="B50" s="25"/>
      <c r="C50" s="25"/>
      <c r="D50" s="333" t="s">
        <v>260</v>
      </c>
      <c r="E50" s="333"/>
    </row>
    <row r="51" spans="1:5" x14ac:dyDescent="0.25">
      <c r="A51" s="3" t="s">
        <v>327</v>
      </c>
      <c r="B51" s="2"/>
      <c r="D51" s="3" t="s">
        <v>258</v>
      </c>
    </row>
    <row r="53" spans="1:5" x14ac:dyDescent="0.25">
      <c r="A53" s="144" t="s">
        <v>340</v>
      </c>
    </row>
  </sheetData>
  <mergeCells count="11">
    <mergeCell ref="A39:E39"/>
    <mergeCell ref="A43:E43"/>
    <mergeCell ref="D50:E50"/>
    <mergeCell ref="A44:E44"/>
    <mergeCell ref="A1:E1"/>
    <mergeCell ref="A2:E2"/>
    <mergeCell ref="A3:E3"/>
    <mergeCell ref="A35:E35"/>
    <mergeCell ref="B5:C5"/>
    <mergeCell ref="D5:E5"/>
    <mergeCell ref="A5:A6"/>
  </mergeCells>
  <phoneticPr fontId="0" type="noConversion"/>
  <pageMargins left="0.39" right="0.17" top="0.53" bottom="0.56999999999999995" header="0.3" footer="0.3"/>
  <pageSetup paperSize="9" scale="8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
  <sheetViews>
    <sheetView workbookViewId="0">
      <selection activeCell="C40" sqref="C40"/>
    </sheetView>
  </sheetViews>
  <sheetFormatPr defaultRowHeight="15" x14ac:dyDescent="0.25"/>
  <cols>
    <col min="1" max="1" width="7.5703125" customWidth="1"/>
    <col min="2" max="2" width="30.85546875" customWidth="1"/>
    <col min="3" max="3" width="11.5703125" customWidth="1"/>
    <col min="4" max="4" width="11.5703125" bestFit="1" customWidth="1"/>
    <col min="5" max="6" width="11" hidden="1" customWidth="1"/>
    <col min="8" max="8" width="18" bestFit="1" customWidth="1"/>
    <col min="9" max="9" width="17.42578125" style="16" bestFit="1" customWidth="1"/>
  </cols>
  <sheetData>
    <row r="1" spans="1:9" x14ac:dyDescent="0.25">
      <c r="A1" s="345" t="s">
        <v>224</v>
      </c>
      <c r="B1" s="345"/>
      <c r="C1" s="345"/>
      <c r="D1" s="345"/>
      <c r="E1" s="345"/>
      <c r="F1" s="345"/>
      <c r="G1" s="17"/>
    </row>
    <row r="2" spans="1:9" ht="15.75" thickBot="1" x14ac:dyDescent="0.3">
      <c r="A2" s="16"/>
      <c r="B2" s="16"/>
      <c r="C2" s="16"/>
      <c r="D2" s="16"/>
      <c r="E2" s="16"/>
      <c r="F2" s="16"/>
    </row>
    <row r="3" spans="1:9" x14ac:dyDescent="0.25">
      <c r="A3" s="43"/>
      <c r="B3" s="40"/>
      <c r="C3" s="346" t="s">
        <v>34</v>
      </c>
      <c r="D3" s="347"/>
      <c r="E3" s="346" t="s">
        <v>45</v>
      </c>
      <c r="F3" s="348"/>
    </row>
    <row r="4" spans="1:9" x14ac:dyDescent="0.25">
      <c r="A4" s="44"/>
      <c r="B4" s="45"/>
      <c r="C4" s="88" t="s">
        <v>35</v>
      </c>
      <c r="D4" s="88" t="s">
        <v>38</v>
      </c>
      <c r="E4" s="88" t="s">
        <v>35</v>
      </c>
      <c r="F4" s="124" t="s">
        <v>38</v>
      </c>
    </row>
    <row r="5" spans="1:9" x14ac:dyDescent="0.25">
      <c r="A5" s="47" t="s">
        <v>1</v>
      </c>
      <c r="B5" s="45"/>
      <c r="C5" s="89" t="s">
        <v>190</v>
      </c>
      <c r="D5" s="89" t="s">
        <v>192</v>
      </c>
      <c r="E5" s="89" t="s">
        <v>190</v>
      </c>
      <c r="F5" s="125" t="s">
        <v>192</v>
      </c>
    </row>
    <row r="6" spans="1:9" x14ac:dyDescent="0.25">
      <c r="A6" s="47"/>
      <c r="B6" s="45"/>
      <c r="C6" s="89" t="s">
        <v>189</v>
      </c>
      <c r="D6" s="89" t="s">
        <v>191</v>
      </c>
      <c r="E6" s="89" t="s">
        <v>189</v>
      </c>
      <c r="F6" s="125" t="s">
        <v>191</v>
      </c>
    </row>
    <row r="7" spans="1:9" x14ac:dyDescent="0.25">
      <c r="A7" s="49"/>
      <c r="B7" s="42"/>
      <c r="C7" s="90" t="s">
        <v>339</v>
      </c>
      <c r="D7" s="90" t="s">
        <v>325</v>
      </c>
      <c r="E7" s="90" t="s">
        <v>188</v>
      </c>
      <c r="F7" s="126" t="s">
        <v>188</v>
      </c>
      <c r="I7" s="18"/>
    </row>
    <row r="8" spans="1:9" x14ac:dyDescent="0.25">
      <c r="A8" s="340" t="s">
        <v>193</v>
      </c>
      <c r="B8" s="341"/>
      <c r="C8" s="192">
        <f>7216664.45146+1691000</f>
        <v>8907664.4514600001</v>
      </c>
      <c r="D8" s="192">
        <f>8343972243/1000</f>
        <v>8343972.2429999998</v>
      </c>
      <c r="E8" s="138"/>
      <c r="F8" s="139"/>
      <c r="H8" s="181"/>
    </row>
    <row r="9" spans="1:9" x14ac:dyDescent="0.25">
      <c r="A9" s="342" t="s">
        <v>194</v>
      </c>
      <c r="B9" s="34" t="s">
        <v>196</v>
      </c>
      <c r="C9" s="192">
        <v>82205</v>
      </c>
      <c r="D9" s="192">
        <f>96266062/1000</f>
        <v>96266.062000000005</v>
      </c>
      <c r="E9" s="138"/>
      <c r="F9" s="139"/>
      <c r="H9" s="181"/>
    </row>
    <row r="10" spans="1:9" x14ac:dyDescent="0.25">
      <c r="A10" s="343"/>
      <c r="B10" s="34" t="s">
        <v>195</v>
      </c>
      <c r="C10" s="192">
        <v>34902.878597000003</v>
      </c>
      <c r="D10" s="192">
        <f>1216706/1000</f>
        <v>1216.7059999999999</v>
      </c>
      <c r="E10" s="138"/>
      <c r="F10" s="139"/>
      <c r="H10" s="181"/>
    </row>
    <row r="11" spans="1:9" x14ac:dyDescent="0.25">
      <c r="A11" s="344"/>
      <c r="B11" s="34" t="s">
        <v>58</v>
      </c>
      <c r="C11" s="192">
        <v>11696.4</v>
      </c>
      <c r="D11" s="192">
        <f>11695656/1000</f>
        <v>11695.656000000001</v>
      </c>
      <c r="E11" s="138"/>
      <c r="F11" s="139"/>
      <c r="H11" s="181"/>
    </row>
    <row r="12" spans="1:9" x14ac:dyDescent="0.25">
      <c r="A12" s="340" t="s">
        <v>197</v>
      </c>
      <c r="B12" s="341"/>
      <c r="C12" s="192">
        <f>+C8-C9-C10-C11</f>
        <v>8778860.1728629991</v>
      </c>
      <c r="D12" s="192">
        <f>+D8-D9-D10-D11</f>
        <v>8234793.8189999992</v>
      </c>
      <c r="E12" s="138"/>
      <c r="F12" s="139"/>
      <c r="H12" s="181"/>
      <c r="I12" s="184"/>
    </row>
    <row r="13" spans="1:9" x14ac:dyDescent="0.25">
      <c r="A13" s="352" t="s">
        <v>199</v>
      </c>
      <c r="B13" s="353"/>
      <c r="C13" s="192"/>
      <c r="D13" s="192"/>
      <c r="E13" s="138"/>
      <c r="F13" s="139"/>
      <c r="H13" s="183"/>
    </row>
    <row r="14" spans="1:9" x14ac:dyDescent="0.25">
      <c r="A14" s="352" t="s">
        <v>198</v>
      </c>
      <c r="B14" s="353"/>
      <c r="C14" s="192"/>
      <c r="D14" s="192"/>
      <c r="E14" s="138"/>
      <c r="F14" s="139"/>
    </row>
    <row r="15" spans="1:9" x14ac:dyDescent="0.25">
      <c r="A15" s="350" t="s">
        <v>194</v>
      </c>
      <c r="B15" s="34" t="s">
        <v>200</v>
      </c>
      <c r="C15" s="192"/>
      <c r="D15" s="192"/>
      <c r="E15" s="138"/>
      <c r="F15" s="139"/>
    </row>
    <row r="16" spans="1:9" ht="15.75" thickBot="1" x14ac:dyDescent="0.3">
      <c r="A16" s="351"/>
      <c r="B16" s="127" t="s">
        <v>201</v>
      </c>
      <c r="C16" s="260"/>
      <c r="D16" s="260"/>
      <c r="E16" s="140"/>
      <c r="F16" s="141"/>
    </row>
    <row r="17" spans="1:12" x14ac:dyDescent="0.25">
      <c r="A17" s="39" t="s">
        <v>202</v>
      </c>
      <c r="B17" s="35"/>
      <c r="C17" s="261">
        <f>C12</f>
        <v>8778860.1728629991</v>
      </c>
      <c r="D17" s="261">
        <f>D12</f>
        <v>8234793.8189999992</v>
      </c>
      <c r="E17" s="137"/>
      <c r="F17" s="137"/>
    </row>
    <row r="18" spans="1:12" x14ac:dyDescent="0.25">
      <c r="A18" s="16"/>
      <c r="B18" s="16"/>
      <c r="C18" s="273">
        <f>+C17-'FINANCIAL POSITION'!B21</f>
        <v>-1.112440001219511</v>
      </c>
      <c r="D18" s="262"/>
      <c r="E18" s="16"/>
      <c r="F18" s="16"/>
    </row>
    <row r="20" spans="1:12" x14ac:dyDescent="0.25">
      <c r="A20" s="349" t="s">
        <v>225</v>
      </c>
      <c r="B20" s="349"/>
      <c r="C20" s="349"/>
      <c r="D20" s="349"/>
      <c r="E20" s="349"/>
      <c r="F20" s="349"/>
    </row>
    <row r="21" spans="1:12" ht="15.75" thickBot="1" x14ac:dyDescent="0.3">
      <c r="A21" s="41"/>
      <c r="B21" s="41"/>
      <c r="C21" s="41"/>
      <c r="D21" s="41"/>
      <c r="E21" s="41"/>
      <c r="F21" s="41"/>
      <c r="H21" s="143"/>
    </row>
    <row r="22" spans="1:12" x14ac:dyDescent="0.25">
      <c r="A22" s="43"/>
      <c r="B22" s="40"/>
      <c r="C22" s="346" t="s">
        <v>34</v>
      </c>
      <c r="D22" s="347"/>
      <c r="E22" s="346" t="s">
        <v>45</v>
      </c>
      <c r="F22" s="348"/>
    </row>
    <row r="23" spans="1:12" x14ac:dyDescent="0.25">
      <c r="A23" s="44"/>
      <c r="B23" s="45"/>
      <c r="C23" s="37" t="s">
        <v>35</v>
      </c>
      <c r="D23" s="37" t="s">
        <v>38</v>
      </c>
      <c r="E23" s="37" t="s">
        <v>35</v>
      </c>
      <c r="F23" s="46" t="s">
        <v>38</v>
      </c>
      <c r="H23" s="143"/>
    </row>
    <row r="24" spans="1:12" x14ac:dyDescent="0.25">
      <c r="A24" s="47" t="s">
        <v>1</v>
      </c>
      <c r="B24" s="45"/>
      <c r="C24" s="38" t="s">
        <v>190</v>
      </c>
      <c r="D24" s="38" t="s">
        <v>192</v>
      </c>
      <c r="E24" s="38" t="s">
        <v>190</v>
      </c>
      <c r="F24" s="48" t="s">
        <v>192</v>
      </c>
    </row>
    <row r="25" spans="1:12" x14ac:dyDescent="0.25">
      <c r="A25" s="47"/>
      <c r="B25" s="45"/>
      <c r="C25" s="38" t="s">
        <v>189</v>
      </c>
      <c r="D25" s="38" t="s">
        <v>191</v>
      </c>
      <c r="E25" s="38" t="s">
        <v>189</v>
      </c>
      <c r="F25" s="48" t="s">
        <v>191</v>
      </c>
    </row>
    <row r="26" spans="1:12" x14ac:dyDescent="0.25">
      <c r="A26" s="49"/>
      <c r="B26" s="42"/>
      <c r="C26" s="210" t="str">
        <f>+C7</f>
        <v>30/09/2018</v>
      </c>
      <c r="D26" s="39" t="str">
        <f>+D7</f>
        <v>31/03/2018</v>
      </c>
      <c r="E26" s="39" t="s">
        <v>188</v>
      </c>
      <c r="F26" s="50" t="s">
        <v>188</v>
      </c>
      <c r="I26" s="18"/>
    </row>
    <row r="27" spans="1:12" x14ac:dyDescent="0.25">
      <c r="A27" s="113" t="s">
        <v>203</v>
      </c>
      <c r="B27" s="112"/>
      <c r="C27" s="268"/>
      <c r="D27" s="128"/>
      <c r="E27" s="128"/>
      <c r="F27" s="129"/>
    </row>
    <row r="28" spans="1:12" x14ac:dyDescent="0.25">
      <c r="A28" s="340" t="s">
        <v>204</v>
      </c>
      <c r="B28" s="341"/>
      <c r="C28" s="162">
        <f>(111479829.83+138900287.56)/1000</f>
        <v>250380.11739</v>
      </c>
      <c r="D28" s="162">
        <f>(1251567647+5009653+138900288)/1000-D36</f>
        <v>496164.55525600002</v>
      </c>
      <c r="E28" s="130"/>
      <c r="F28" s="131"/>
      <c r="H28" s="155"/>
      <c r="I28" s="142"/>
      <c r="L28" t="s">
        <v>227</v>
      </c>
    </row>
    <row r="29" spans="1:12" x14ac:dyDescent="0.25">
      <c r="A29" s="340" t="s">
        <v>205</v>
      </c>
      <c r="B29" s="341"/>
      <c r="C29" s="149">
        <f>(1742387548.89+95801084)/1000</f>
        <v>1838188.63289</v>
      </c>
      <c r="D29" s="149">
        <f>+(896609130+2098520189)/1000-D37</f>
        <v>1749463.7940000002</v>
      </c>
      <c r="E29" s="128"/>
      <c r="F29" s="129"/>
      <c r="I29" s="142"/>
    </row>
    <row r="30" spans="1:12" x14ac:dyDescent="0.25">
      <c r="A30" s="340" t="s">
        <v>206</v>
      </c>
      <c r="B30" s="341"/>
      <c r="C30" s="217">
        <v>0</v>
      </c>
      <c r="D30" s="217">
        <v>0</v>
      </c>
      <c r="E30" s="128"/>
      <c r="F30" s="129"/>
      <c r="H30" s="143"/>
      <c r="I30" s="142"/>
    </row>
    <row r="31" spans="1:12" x14ac:dyDescent="0.25">
      <c r="A31" s="340" t="s">
        <v>207</v>
      </c>
      <c r="B31" s="341"/>
      <c r="C31" s="217">
        <v>0</v>
      </c>
      <c r="D31" s="217">
        <v>0</v>
      </c>
      <c r="E31" s="128"/>
      <c r="F31" s="129"/>
      <c r="I31" s="142"/>
    </row>
    <row r="32" spans="1:12" x14ac:dyDescent="0.25">
      <c r="A32" s="340" t="s">
        <v>208</v>
      </c>
      <c r="B32" s="341"/>
      <c r="C32" s="217">
        <v>0</v>
      </c>
      <c r="D32" s="217">
        <v>0</v>
      </c>
      <c r="E32" s="128"/>
      <c r="F32" s="129"/>
      <c r="I32" s="142"/>
    </row>
    <row r="33" spans="1:12" x14ac:dyDescent="0.25">
      <c r="A33" s="340" t="s">
        <v>230</v>
      </c>
      <c r="B33" s="341"/>
      <c r="C33" s="149">
        <f>(13371353.3+4129.47)/1000</f>
        <v>13375.482770000001</v>
      </c>
      <c r="D33" s="149">
        <f>389843592/1000-D39</f>
        <v>13758.391999999993</v>
      </c>
      <c r="E33" s="128"/>
      <c r="F33" s="129"/>
      <c r="H33" s="179"/>
      <c r="I33" s="142"/>
      <c r="L33" s="16"/>
    </row>
    <row r="34" spans="1:12" x14ac:dyDescent="0.25">
      <c r="A34" s="51" t="s">
        <v>209</v>
      </c>
      <c r="B34" s="36"/>
      <c r="C34" s="191">
        <f>SUM(C28:C33)</f>
        <v>2101944.2330499999</v>
      </c>
      <c r="D34" s="191">
        <f>SUM(D28:D33)</f>
        <v>2259386.7412560005</v>
      </c>
      <c r="E34" s="132"/>
      <c r="F34" s="133"/>
      <c r="H34" s="155"/>
      <c r="I34" s="182"/>
      <c r="L34" s="16"/>
    </row>
    <row r="35" spans="1:12" x14ac:dyDescent="0.25">
      <c r="A35" s="113" t="s">
        <v>210</v>
      </c>
      <c r="B35" s="112"/>
      <c r="C35" s="192"/>
      <c r="D35" s="192"/>
      <c r="E35" s="128"/>
      <c r="F35" s="129"/>
      <c r="I35" s="142"/>
      <c r="L35" s="16"/>
    </row>
    <row r="36" spans="1:12" x14ac:dyDescent="0.25">
      <c r="A36" s="339" t="s">
        <v>204</v>
      </c>
      <c r="B36" s="339"/>
      <c r="C36" s="162">
        <f>(900853051.96+0.3*169.1)/1000</f>
        <v>900853.10269000009</v>
      </c>
      <c r="D36" s="162">
        <f>899313032.744/1000</f>
        <v>899313.03274399997</v>
      </c>
      <c r="E36" s="130"/>
      <c r="F36" s="131"/>
      <c r="H36" s="181"/>
      <c r="I36" s="142"/>
      <c r="L36" s="16"/>
    </row>
    <row r="37" spans="1:12" x14ac:dyDescent="0.25">
      <c r="A37" s="339" t="s">
        <v>205</v>
      </c>
      <c r="B37" s="339"/>
      <c r="C37" s="149">
        <f>(3716289236.14+(181369.42+42692.9)*169.1)/1000</f>
        <v>3754178.1744519998</v>
      </c>
      <c r="D37" s="149">
        <f>1245665525/1000</f>
        <v>1245665.5249999999</v>
      </c>
      <c r="E37" s="128"/>
      <c r="F37" s="129"/>
      <c r="H37" s="181"/>
      <c r="I37" s="142"/>
      <c r="L37" s="16"/>
    </row>
    <row r="38" spans="1:12" x14ac:dyDescent="0.25">
      <c r="A38" s="339" t="s">
        <v>249</v>
      </c>
      <c r="B38" s="339"/>
      <c r="C38" s="149">
        <f>164531589.33/1000</f>
        <v>164531.58933000002</v>
      </c>
      <c r="D38" s="149">
        <f>424419124/1000</f>
        <v>424419.12400000001</v>
      </c>
      <c r="E38" s="128"/>
      <c r="F38" s="129"/>
      <c r="I38" s="142"/>
      <c r="L38" s="16"/>
    </row>
    <row r="39" spans="1:12" x14ac:dyDescent="0.25">
      <c r="A39" s="340" t="s">
        <v>230</v>
      </c>
      <c r="B39" s="341"/>
      <c r="C39" s="149">
        <f>(294234000+5460.39*169.1)/1000</f>
        <v>295157.35194899997</v>
      </c>
      <c r="D39" s="263">
        <f>376085200/1000</f>
        <v>376085.2</v>
      </c>
      <c r="E39" s="128"/>
      <c r="F39" s="129"/>
      <c r="I39" s="142"/>
      <c r="L39" s="16"/>
    </row>
    <row r="40" spans="1:12" x14ac:dyDescent="0.25">
      <c r="A40" s="339" t="s">
        <v>248</v>
      </c>
      <c r="B40" s="339"/>
      <c r="C40" s="149">
        <f>1691000000/1000</f>
        <v>1691000</v>
      </c>
      <c r="D40" s="149">
        <f>3139102621/1000</f>
        <v>3139102.6209999998</v>
      </c>
      <c r="E40" s="128"/>
      <c r="F40" s="129"/>
      <c r="H40" s="143"/>
      <c r="I40" s="142"/>
      <c r="L40" s="16"/>
    </row>
    <row r="41" spans="1:12" ht="15.75" thickBot="1" x14ac:dyDescent="0.3">
      <c r="A41" s="96" t="s">
        <v>209</v>
      </c>
      <c r="B41" s="97"/>
      <c r="C41" s="193">
        <f>SUM(C36:C40)</f>
        <v>6805720.2184209991</v>
      </c>
      <c r="D41" s="193">
        <f>SUM(D36:D40)</f>
        <v>6084585.5027440004</v>
      </c>
      <c r="E41" s="134"/>
      <c r="F41" s="135"/>
      <c r="H41" s="180"/>
      <c r="I41" s="145"/>
      <c r="L41" s="16"/>
    </row>
    <row r="42" spans="1:12" ht="15.75" thickBot="1" x14ac:dyDescent="0.3">
      <c r="A42" s="119" t="s">
        <v>130</v>
      </c>
      <c r="B42" s="120"/>
      <c r="C42" s="194">
        <f>C34+C41</f>
        <v>8907664.451470999</v>
      </c>
      <c r="D42" s="194">
        <f>D34+D41</f>
        <v>8343972.2440000009</v>
      </c>
      <c r="E42" s="136"/>
      <c r="F42" s="136"/>
      <c r="I42" s="145"/>
    </row>
    <row r="43" spans="1:12" ht="15.75" thickTop="1" x14ac:dyDescent="0.25">
      <c r="A43" s="16"/>
      <c r="B43" s="16"/>
      <c r="C43" s="262">
        <f>+C8-C42</f>
        <v>-1.0998919606208801E-5</v>
      </c>
      <c r="D43" s="264"/>
      <c r="E43" s="16"/>
      <c r="F43" s="16"/>
    </row>
    <row r="44" spans="1:12" x14ac:dyDescent="0.25">
      <c r="C44" s="143"/>
    </row>
    <row r="46" spans="1:12" x14ac:dyDescent="0.25">
      <c r="C46" s="143"/>
      <c r="F46" s="143"/>
    </row>
    <row r="47" spans="1:12" x14ac:dyDescent="0.25">
      <c r="C47" s="143"/>
    </row>
  </sheetData>
  <mergeCells count="23">
    <mergeCell ref="A9:A11"/>
    <mergeCell ref="A40:B40"/>
    <mergeCell ref="A1:F1"/>
    <mergeCell ref="C22:D22"/>
    <mergeCell ref="E22:F22"/>
    <mergeCell ref="C3:D3"/>
    <mergeCell ref="E3:F3"/>
    <mergeCell ref="A20:F20"/>
    <mergeCell ref="A15:A16"/>
    <mergeCell ref="A8:B8"/>
    <mergeCell ref="A12:B12"/>
    <mergeCell ref="A13:B13"/>
    <mergeCell ref="A14:B14"/>
    <mergeCell ref="A39:B39"/>
    <mergeCell ref="A32:B32"/>
    <mergeCell ref="A33:B33"/>
    <mergeCell ref="A37:B37"/>
    <mergeCell ref="A38:B38"/>
    <mergeCell ref="A28:B28"/>
    <mergeCell ref="A29:B29"/>
    <mergeCell ref="A30:B30"/>
    <mergeCell ref="A31:B31"/>
    <mergeCell ref="A36:B36"/>
  </mergeCells>
  <phoneticPr fontId="0" type="noConversion"/>
  <pageMargins left="0.70866141732283472" right="0.70866141732283472" top="0.74803149606299213" bottom="0.74803149606299213" header="0.31496062992125984" footer="0.31496062992125984"/>
  <pageSetup paperSize="9" fitToHeight="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C23" sqref="C23"/>
    </sheetView>
  </sheetViews>
  <sheetFormatPr defaultRowHeight="15" x14ac:dyDescent="0.25"/>
  <cols>
    <col min="1" max="1" width="6.5703125" customWidth="1"/>
    <col min="2" max="2" width="28.28515625" customWidth="1"/>
    <col min="3" max="3" width="11.5703125" customWidth="1"/>
    <col min="4" max="4" width="11.28515625" customWidth="1"/>
    <col min="5" max="5" width="11.5703125" hidden="1" customWidth="1"/>
    <col min="6" max="6" width="11.140625" hidden="1" customWidth="1"/>
  </cols>
  <sheetData>
    <row r="1" spans="1:6" x14ac:dyDescent="0.25">
      <c r="A1" s="190" t="s">
        <v>211</v>
      </c>
      <c r="B1" s="190"/>
      <c r="C1" s="190"/>
      <c r="D1" s="190"/>
      <c r="E1" s="190"/>
      <c r="F1" s="190"/>
    </row>
    <row r="2" spans="1:6" x14ac:dyDescent="0.25">
      <c r="A2" s="345" t="s">
        <v>212</v>
      </c>
      <c r="B2" s="345"/>
      <c r="C2" s="345"/>
      <c r="D2" s="345"/>
      <c r="E2" s="345"/>
      <c r="F2" s="345"/>
    </row>
    <row r="3" spans="1:6" ht="16.5" customHeight="1" thickBot="1" x14ac:dyDescent="0.3"/>
    <row r="4" spans="1:6" x14ac:dyDescent="0.25">
      <c r="A4" s="43"/>
      <c r="B4" s="40"/>
      <c r="C4" s="346" t="s">
        <v>34</v>
      </c>
      <c r="D4" s="347"/>
      <c r="E4" s="346" t="s">
        <v>45</v>
      </c>
      <c r="F4" s="348"/>
    </row>
    <row r="5" spans="1:6" x14ac:dyDescent="0.25">
      <c r="A5" s="47" t="s">
        <v>1</v>
      </c>
      <c r="B5" s="45"/>
      <c r="C5" s="88" t="s">
        <v>35</v>
      </c>
      <c r="D5" s="88" t="s">
        <v>38</v>
      </c>
      <c r="E5" s="88" t="s">
        <v>35</v>
      </c>
      <c r="F5" s="92" t="s">
        <v>38</v>
      </c>
    </row>
    <row r="6" spans="1:6" x14ac:dyDescent="0.25">
      <c r="A6" s="47"/>
      <c r="B6" s="45"/>
      <c r="C6" s="89" t="s">
        <v>190</v>
      </c>
      <c r="D6" s="89" t="s">
        <v>192</v>
      </c>
      <c r="E6" s="89" t="s">
        <v>190</v>
      </c>
      <c r="F6" s="93" t="s">
        <v>192</v>
      </c>
    </row>
    <row r="7" spans="1:6" x14ac:dyDescent="0.25">
      <c r="A7" s="47"/>
      <c r="B7" s="45"/>
      <c r="C7" s="89" t="s">
        <v>189</v>
      </c>
      <c r="D7" s="89" t="s">
        <v>191</v>
      </c>
      <c r="E7" s="89" t="s">
        <v>189</v>
      </c>
      <c r="F7" s="93" t="s">
        <v>191</v>
      </c>
    </row>
    <row r="8" spans="1:6" x14ac:dyDescent="0.25">
      <c r="A8" s="49"/>
      <c r="B8" s="42"/>
      <c r="C8" s="90" t="str">
        <f>+'Loans &amp; Receivables'!C7</f>
        <v>30/09/2018</v>
      </c>
      <c r="D8" s="90" t="str">
        <f>+'Loans &amp; Receivables'!D7</f>
        <v>31/03/2018</v>
      </c>
      <c r="E8" s="90" t="s">
        <v>188</v>
      </c>
      <c r="F8" s="94" t="s">
        <v>188</v>
      </c>
    </row>
    <row r="9" spans="1:6" x14ac:dyDescent="0.25">
      <c r="A9" s="360" t="s">
        <v>213</v>
      </c>
      <c r="B9" s="361"/>
      <c r="C9" s="91"/>
      <c r="D9" s="34"/>
      <c r="E9" s="34"/>
      <c r="F9" s="52"/>
    </row>
    <row r="10" spans="1:6" x14ac:dyDescent="0.25">
      <c r="A10" s="358" t="s">
        <v>308</v>
      </c>
      <c r="B10" s="359"/>
      <c r="C10" s="265">
        <f>+D15</f>
        <v>96266.063000000009</v>
      </c>
      <c r="D10" s="265">
        <v>67575.320000000007</v>
      </c>
      <c r="E10" s="34"/>
      <c r="F10" s="52"/>
    </row>
    <row r="11" spans="1:6" x14ac:dyDescent="0.25">
      <c r="A11" s="358" t="s">
        <v>214</v>
      </c>
      <c r="B11" s="359"/>
      <c r="C11" s="265">
        <v>11250</v>
      </c>
      <c r="D11" s="265">
        <v>28690.742999999999</v>
      </c>
      <c r="E11" s="34"/>
      <c r="F11" s="52"/>
    </row>
    <row r="12" spans="1:6" x14ac:dyDescent="0.25">
      <c r="A12" s="358" t="s">
        <v>215</v>
      </c>
      <c r="B12" s="359"/>
      <c r="C12" s="265"/>
      <c r="D12" s="265"/>
      <c r="E12" s="34"/>
      <c r="F12" s="52"/>
    </row>
    <row r="13" spans="1:6" x14ac:dyDescent="0.25">
      <c r="A13" s="358" t="s">
        <v>216</v>
      </c>
      <c r="B13" s="359"/>
      <c r="C13" s="265"/>
      <c r="D13" s="265"/>
      <c r="E13" s="34"/>
      <c r="F13" s="52"/>
    </row>
    <row r="14" spans="1:6" x14ac:dyDescent="0.25">
      <c r="A14" s="358" t="s">
        <v>217</v>
      </c>
      <c r="B14" s="359"/>
      <c r="C14" s="265">
        <f>+C15-C10-C11</f>
        <v>-25311.063000000009</v>
      </c>
      <c r="D14" s="265"/>
      <c r="E14" s="34"/>
      <c r="F14" s="52"/>
    </row>
    <row r="15" spans="1:6" x14ac:dyDescent="0.25">
      <c r="A15" s="354" t="s">
        <v>309</v>
      </c>
      <c r="B15" s="355"/>
      <c r="C15" s="269">
        <v>82205</v>
      </c>
      <c r="D15" s="266">
        <v>96266.063000000009</v>
      </c>
      <c r="E15" s="34"/>
      <c r="F15" s="52"/>
    </row>
    <row r="16" spans="1:6" x14ac:dyDescent="0.25">
      <c r="A16" s="354" t="s">
        <v>218</v>
      </c>
      <c r="B16" s="355"/>
      <c r="C16" s="265"/>
      <c r="D16" s="265"/>
      <c r="E16" s="34"/>
      <c r="F16" s="52"/>
    </row>
    <row r="17" spans="1:8" x14ac:dyDescent="0.25">
      <c r="A17" s="358" t="s">
        <v>310</v>
      </c>
      <c r="B17" s="359"/>
      <c r="C17" s="265">
        <f>+D21</f>
        <v>1216.7050000000017</v>
      </c>
      <c r="D17" s="265">
        <v>29697.542000000001</v>
      </c>
      <c r="E17" s="34"/>
      <c r="F17" s="52"/>
    </row>
    <row r="18" spans="1:8" x14ac:dyDescent="0.25">
      <c r="A18" s="358" t="s">
        <v>214</v>
      </c>
      <c r="B18" s="359"/>
      <c r="C18" s="265">
        <f>+C21-C17-C20</f>
        <v>32235.834847000002</v>
      </c>
      <c r="D18" s="265">
        <v>-28865.876</v>
      </c>
      <c r="E18" s="34"/>
      <c r="F18" s="52"/>
    </row>
    <row r="19" spans="1:8" x14ac:dyDescent="0.25">
      <c r="A19" s="358" t="s">
        <v>215</v>
      </c>
      <c r="B19" s="359"/>
      <c r="C19" s="265"/>
      <c r="D19" s="265"/>
      <c r="E19" s="34"/>
      <c r="F19" s="52"/>
    </row>
    <row r="20" spans="1:8" x14ac:dyDescent="0.25">
      <c r="A20" s="358" t="s">
        <v>217</v>
      </c>
      <c r="B20" s="359"/>
      <c r="C20" s="265">
        <f>107432.5*(169.1-155.6)/1000</f>
        <v>1450.3387499999999</v>
      </c>
      <c r="D20" s="265">
        <v>385.03900000000067</v>
      </c>
      <c r="E20" s="34"/>
      <c r="F20" s="52"/>
    </row>
    <row r="21" spans="1:8" x14ac:dyDescent="0.25">
      <c r="A21" s="354" t="s">
        <v>311</v>
      </c>
      <c r="B21" s="355"/>
      <c r="C21" s="266">
        <v>34902.878597000003</v>
      </c>
      <c r="D21" s="266">
        <v>1216.7050000000017</v>
      </c>
      <c r="E21" s="36"/>
      <c r="F21" s="53"/>
    </row>
    <row r="22" spans="1:8" ht="15.75" thickBot="1" x14ac:dyDescent="0.3">
      <c r="A22" s="356" t="s">
        <v>219</v>
      </c>
      <c r="B22" s="357"/>
      <c r="C22" s="267">
        <f>+C15+C21</f>
        <v>117107.878597</v>
      </c>
      <c r="D22" s="267">
        <v>97482.768000000011</v>
      </c>
      <c r="E22" s="110"/>
      <c r="F22" s="111"/>
    </row>
    <row r="23" spans="1:8" x14ac:dyDescent="0.25">
      <c r="C23" s="270">
        <f>+'Loans &amp; Receivables'!C9+'Loans &amp; Receivables'!C10</f>
        <v>117107.878597</v>
      </c>
      <c r="D23" s="218"/>
      <c r="H23" s="23"/>
    </row>
    <row r="24" spans="1:8" x14ac:dyDescent="0.25">
      <c r="C24" s="270">
        <f>+C22-C23</f>
        <v>0</v>
      </c>
      <c r="D24" s="218"/>
    </row>
    <row r="25" spans="1:8" x14ac:dyDescent="0.25">
      <c r="D25" s="23"/>
    </row>
    <row r="26" spans="1:8" x14ac:dyDescent="0.25">
      <c r="C26" s="23"/>
    </row>
    <row r="27" spans="1:8" x14ac:dyDescent="0.25">
      <c r="D27" s="23"/>
    </row>
    <row r="28" spans="1:8" x14ac:dyDescent="0.25">
      <c r="C28" s="23"/>
      <c r="D28" s="23"/>
    </row>
    <row r="29" spans="1:8" x14ac:dyDescent="0.25">
      <c r="C29" s="23"/>
    </row>
  </sheetData>
  <mergeCells count="17">
    <mergeCell ref="C4:D4"/>
    <mergeCell ref="E4:F4"/>
    <mergeCell ref="A2:F2"/>
    <mergeCell ref="A17:B17"/>
    <mergeCell ref="A9:B9"/>
    <mergeCell ref="A16:B16"/>
    <mergeCell ref="A15:B15"/>
    <mergeCell ref="A10:B10"/>
    <mergeCell ref="A11:B11"/>
    <mergeCell ref="A12:B12"/>
    <mergeCell ref="A13:B13"/>
    <mergeCell ref="A14:B14"/>
    <mergeCell ref="A21:B21"/>
    <mergeCell ref="A22:B22"/>
    <mergeCell ref="A19:B19"/>
    <mergeCell ref="A20:B20"/>
    <mergeCell ref="A18:B18"/>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INCOME-I</vt:lpstr>
      <vt:lpstr>INCOME-II</vt:lpstr>
      <vt:lpstr>FINANCIAL POSITION</vt:lpstr>
      <vt:lpstr>CHANGES IN EQUITY</vt:lpstr>
      <vt:lpstr>FINANCIAL INSTRUMENTS</vt:lpstr>
      <vt:lpstr>Cash Flow</vt:lpstr>
      <vt:lpstr>SELECTED PERFORMANCE INDICATORS</vt:lpstr>
      <vt:lpstr>Loans &amp; Receivables</vt:lpstr>
      <vt:lpstr>Impairment</vt:lpstr>
      <vt:lpstr>Customers</vt:lpstr>
      <vt:lpstr>'Cash Flow'!Print_Area</vt:lpstr>
      <vt:lpstr>'CHANGES IN EQUITY'!Print_Area</vt:lpstr>
      <vt:lpstr>'INCOME-I'!Print_Area</vt:lpstr>
      <vt:lpstr>'INCOME-II'!Print_Area</vt:lpstr>
      <vt:lpstr>'Loans &amp; Receivables'!Print_Area</vt:lpstr>
      <vt:lpstr>'SELECTED PERFORMANCE INDICATORS'!Print_Area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Sahana Ms.</dc:creator>
  <cp:lastModifiedBy>user</cp:lastModifiedBy>
  <cp:lastPrinted>2018-06-14T12:55:35Z</cp:lastPrinted>
  <dcterms:created xsi:type="dcterms:W3CDTF">2013-06-10T08:59:36Z</dcterms:created>
  <dcterms:modified xsi:type="dcterms:W3CDTF">2018-11-19T10:03:06Z</dcterms:modified>
</cp:coreProperties>
</file>