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Monthly_Returns\2017\December 2017\Publication\"/>
    </mc:Choice>
  </mc:AlternateContent>
  <bookViews>
    <workbookView xWindow="240" yWindow="15" windowWidth="15480" windowHeight="8130"/>
  </bookViews>
  <sheets>
    <sheet name="INCOME-I" sheetId="1" r:id="rId1"/>
    <sheet name="INCOME-II" sheetId="2" r:id="rId2"/>
    <sheet name="FINANCIAL POSITION" sheetId="3" r:id="rId3"/>
    <sheet name="CHANGES IN EQUITY" sheetId="4" r:id="rId4"/>
    <sheet name="FINANCIAL INSTRUMENTS" sheetId="6" r:id="rId5"/>
    <sheet name="Cash Flow" sheetId="11" r:id="rId6"/>
    <sheet name="SELECTED PERFORMANCE INDICATORS" sheetId="7" r:id="rId7"/>
    <sheet name="Loans &amp; Receivables" sheetId="8" r:id="rId8"/>
    <sheet name="Impairment" sheetId="9" r:id="rId9"/>
    <sheet name="Customers" sheetId="10" r:id="rId10"/>
  </sheets>
  <definedNames>
    <definedName name="_xlnm.Print_Area" localSheetId="3">'CHANGES IN EQUITY'!$A$1:$O$30,'CHANGES IN EQUITY'!$A$34:$O$60</definedName>
    <definedName name="_xlnm.Print_Area" localSheetId="0">'INCOME-I'!$B$1:$H$51</definedName>
    <definedName name="_xlnm.Print_Area" localSheetId="1">'INCOME-II'!$A$1:$I$31</definedName>
    <definedName name="_xlnm.Print_Area" localSheetId="7">'Loans &amp; Receivables'!$A$1:$F$41</definedName>
    <definedName name="_xlnm.Print_Area" localSheetId="6">'SELECTED PERFORMANCE INDICATORS'!$A$1:$E$55</definedName>
  </definedNames>
  <calcPr calcId="152511"/>
</workbook>
</file>

<file path=xl/calcChain.xml><?xml version="1.0" encoding="utf-8"?>
<calcChain xmlns="http://schemas.openxmlformats.org/spreadsheetml/2006/main">
  <c r="M40" i="4" l="1"/>
  <c r="L40" i="4"/>
  <c r="O50" i="4"/>
  <c r="O52" i="4"/>
  <c r="O49" i="4"/>
  <c r="M50" i="4"/>
  <c r="M51" i="4"/>
  <c r="O51" i="4" s="1"/>
  <c r="M52" i="4"/>
  <c r="M53" i="4"/>
  <c r="O53" i="4" s="1"/>
  <c r="M54" i="4"/>
  <c r="O54" i="4" s="1"/>
  <c r="M55" i="4"/>
  <c r="O55" i="4" s="1"/>
  <c r="M56" i="4"/>
  <c r="O56" i="4" s="1"/>
  <c r="M57" i="4"/>
  <c r="O57" i="4" s="1"/>
  <c r="M58" i="4"/>
  <c r="O58" i="4" s="1"/>
  <c r="M49" i="4"/>
  <c r="H57" i="3"/>
  <c r="H52" i="3"/>
  <c r="H44" i="3"/>
  <c r="H42" i="3"/>
  <c r="H43" i="3"/>
  <c r="H38" i="3"/>
  <c r="H33" i="3"/>
  <c r="H30" i="3"/>
  <c r="H29" i="3"/>
  <c r="H26" i="3"/>
  <c r="H23" i="3"/>
  <c r="H22" i="3"/>
  <c r="H21" i="3"/>
  <c r="H20" i="3"/>
  <c r="H15" i="3"/>
  <c r="H14" i="3"/>
  <c r="H13" i="3"/>
  <c r="O59" i="4" l="1"/>
  <c r="H44" i="1"/>
  <c r="G43" i="1"/>
  <c r="G44" i="1"/>
  <c r="F44" i="1"/>
  <c r="E44" i="1"/>
  <c r="G34" i="1"/>
  <c r="G32" i="1"/>
  <c r="G33" i="1"/>
  <c r="G30" i="1"/>
  <c r="G25" i="1"/>
  <c r="G19" i="1"/>
  <c r="G16" i="1"/>
  <c r="G14" i="1"/>
  <c r="G13" i="1"/>
  <c r="G15" i="1" l="1"/>
  <c r="G18" i="1"/>
  <c r="G27" i="1"/>
  <c r="G26" i="1" l="1"/>
  <c r="G31" i="1" s="1"/>
  <c r="G35" i="1" s="1"/>
  <c r="G38" i="1" s="1"/>
  <c r="G42" i="1" s="1"/>
  <c r="G46" i="1" s="1"/>
  <c r="C18" i="10"/>
  <c r="C12" i="10"/>
  <c r="C37" i="8"/>
  <c r="C36" i="8"/>
  <c r="C32" i="8"/>
  <c r="C28" i="8"/>
  <c r="C35" i="8"/>
  <c r="C27" i="8"/>
  <c r="C38" i="8" l="1"/>
  <c r="C10" i="8" l="1"/>
  <c r="C15" i="9"/>
  <c r="C8" i="8"/>
  <c r="C11" i="8" l="1"/>
  <c r="C16" i="8" s="1"/>
  <c r="B27" i="7" l="1"/>
  <c r="B9" i="7"/>
  <c r="B8" i="7"/>
  <c r="C11" i="9" l="1"/>
  <c r="C21" i="9"/>
  <c r="C18" i="9"/>
  <c r="C20" i="9"/>
  <c r="C21" i="10"/>
  <c r="G78" i="6"/>
  <c r="H78" i="6"/>
  <c r="F78" i="6"/>
  <c r="B78" i="6"/>
  <c r="C78" i="6"/>
  <c r="D78" i="6"/>
  <c r="F33" i="6" l="1"/>
  <c r="G33" i="6"/>
  <c r="H33" i="6"/>
  <c r="B33" i="6"/>
  <c r="C33" i="6"/>
  <c r="D33" i="6"/>
  <c r="E33" i="6"/>
  <c r="G20" i="6"/>
  <c r="H20" i="6"/>
  <c r="F20" i="6"/>
  <c r="B20" i="6"/>
  <c r="C20" i="6"/>
  <c r="F44" i="3"/>
  <c r="F43" i="3"/>
  <c r="F38" i="3"/>
  <c r="F23" i="3"/>
  <c r="F21" i="3"/>
  <c r="F13" i="3"/>
  <c r="I10" i="2"/>
  <c r="H10" i="2"/>
  <c r="G10" i="2"/>
  <c r="F10" i="2"/>
  <c r="E34" i="1"/>
  <c r="E29" i="1"/>
  <c r="E25" i="1"/>
  <c r="E16" i="1"/>
  <c r="F34" i="1" l="1"/>
  <c r="F32" i="1"/>
  <c r="F30" i="1"/>
  <c r="F27" i="1"/>
  <c r="F25" i="1"/>
  <c r="F18" i="1"/>
  <c r="F15" i="1"/>
  <c r="F26" i="1" s="1"/>
  <c r="F31" i="1" s="1"/>
  <c r="F35" i="1" s="1"/>
  <c r="F38" i="1" s="1"/>
  <c r="F42" i="1" s="1"/>
  <c r="F46" i="1" s="1"/>
  <c r="C49" i="11" l="1"/>
  <c r="B37" i="11" l="1"/>
  <c r="C48" i="11"/>
  <c r="C35" i="11"/>
  <c r="C28" i="11"/>
  <c r="C27" i="11"/>
  <c r="C26" i="11"/>
  <c r="C37" i="11" s="1"/>
  <c r="C22" i="11"/>
  <c r="C21" i="11"/>
  <c r="C17" i="11"/>
  <c r="C16" i="11"/>
  <c r="C15" i="11"/>
  <c r="C14" i="11"/>
  <c r="C13" i="11"/>
  <c r="C10" i="11"/>
  <c r="C23" i="11" s="1"/>
  <c r="C51" i="11" s="1"/>
  <c r="C54" i="11" s="1"/>
  <c r="D32" i="8" l="1"/>
  <c r="D40" i="8"/>
  <c r="C19" i="10" l="1"/>
  <c r="H50" i="3" l="1"/>
  <c r="H49" i="3"/>
  <c r="I8" i="2" l="1"/>
  <c r="C8" i="9" l="1"/>
  <c r="C7" i="10" s="1"/>
  <c r="C33" i="8" l="1"/>
  <c r="C40" i="8"/>
  <c r="C41" i="8" l="1"/>
  <c r="C42" i="8" s="1"/>
  <c r="O40" i="4" l="1"/>
  <c r="O42" i="4"/>
  <c r="K45" i="4"/>
  <c r="L45" i="4"/>
  <c r="C17" i="9" l="1"/>
  <c r="C10" i="9" l="1"/>
  <c r="D20" i="10"/>
  <c r="D18" i="10"/>
  <c r="D15" i="10"/>
  <c r="D12" i="10"/>
  <c r="D11" i="10"/>
  <c r="D17" i="10" s="1"/>
  <c r="D10" i="10"/>
  <c r="D16" i="10" s="1"/>
  <c r="D9" i="10"/>
  <c r="D13" i="10" s="1"/>
  <c r="D8" i="9"/>
  <c r="D7" i="10" s="1"/>
  <c r="D39" i="8"/>
  <c r="D37" i="8"/>
  <c r="D36" i="8"/>
  <c r="D35" i="8"/>
  <c r="D28" i="8"/>
  <c r="D27" i="8"/>
  <c r="D25" i="8"/>
  <c r="D10" i="8"/>
  <c r="D11" i="8" s="1"/>
  <c r="D9" i="8"/>
  <c r="D8" i="8"/>
  <c r="C27" i="7"/>
  <c r="C9" i="7"/>
  <c r="C8" i="7"/>
  <c r="F29" i="3"/>
  <c r="D33" i="8" l="1"/>
  <c r="D41" i="8" s="1"/>
  <c r="D19" i="10"/>
  <c r="M13" i="4"/>
  <c r="I57" i="3"/>
  <c r="I52" i="3"/>
  <c r="I50" i="3"/>
  <c r="I53" i="3" s="1"/>
  <c r="I55" i="3" s="1"/>
  <c r="I49" i="3"/>
  <c r="I44" i="3"/>
  <c r="I43" i="3"/>
  <c r="I42" i="3"/>
  <c r="I38" i="3"/>
  <c r="I33" i="3"/>
  <c r="I47" i="3" s="1"/>
  <c r="I30" i="3"/>
  <c r="I29" i="3"/>
  <c r="I26" i="3"/>
  <c r="I23" i="3"/>
  <c r="I22" i="3"/>
  <c r="I21" i="3"/>
  <c r="I20" i="3"/>
  <c r="I15" i="3"/>
  <c r="I31" i="3" s="1"/>
  <c r="I14" i="3"/>
  <c r="I13" i="3"/>
  <c r="I9" i="3"/>
  <c r="G57" i="3"/>
  <c r="G52" i="3"/>
  <c r="G53" i="3" s="1"/>
  <c r="G55" i="3" s="1"/>
  <c r="G51" i="3"/>
  <c r="G50" i="3"/>
  <c r="G44" i="3"/>
  <c r="G43" i="3"/>
  <c r="G41" i="3"/>
  <c r="G38" i="3"/>
  <c r="G33" i="3"/>
  <c r="G47" i="3" s="1"/>
  <c r="G30" i="3"/>
  <c r="G29" i="3"/>
  <c r="G26" i="3"/>
  <c r="G23" i="3"/>
  <c r="G21" i="3"/>
  <c r="G15" i="3"/>
  <c r="G14" i="3"/>
  <c r="G13" i="3"/>
  <c r="G31" i="3" s="1"/>
  <c r="I56" i="3" l="1"/>
  <c r="G56" i="3"/>
  <c r="D110" i="6"/>
  <c r="D109" i="6" l="1"/>
  <c r="F109" i="6"/>
  <c r="D52" i="11" l="1"/>
  <c r="D16" i="8" l="1"/>
  <c r="J15" i="4"/>
  <c r="B21" i="11"/>
  <c r="F50" i="3" l="1"/>
  <c r="D51" i="11" l="1"/>
  <c r="D40" i="11"/>
  <c r="D44" i="11"/>
  <c r="E49" i="11"/>
  <c r="E51" i="11" s="1"/>
  <c r="E54" i="11" s="1"/>
  <c r="E37" i="11"/>
  <c r="E23" i="11"/>
  <c r="I144" i="6"/>
  <c r="I145" i="6"/>
  <c r="I146" i="6"/>
  <c r="I147" i="6"/>
  <c r="I148" i="6"/>
  <c r="I149" i="6"/>
  <c r="I150" i="6"/>
  <c r="I151" i="6"/>
  <c r="I152" i="6"/>
  <c r="I153" i="6"/>
  <c r="F154" i="6"/>
  <c r="I160" i="6"/>
  <c r="I161" i="6"/>
  <c r="I162" i="6"/>
  <c r="I163" i="6"/>
  <c r="I164" i="6"/>
  <c r="I165" i="6"/>
  <c r="I166" i="6"/>
  <c r="N59" i="4"/>
  <c r="L59" i="4"/>
  <c r="K59" i="4"/>
  <c r="K60" i="4" s="1"/>
  <c r="J59" i="4"/>
  <c r="I59" i="4"/>
  <c r="H59" i="4"/>
  <c r="G59" i="4"/>
  <c r="F59" i="4"/>
  <c r="N45" i="4"/>
  <c r="J45" i="4"/>
  <c r="I45" i="4"/>
  <c r="H45" i="4"/>
  <c r="M45" i="4" s="1"/>
  <c r="G45" i="4"/>
  <c r="G60" i="4" s="1"/>
  <c r="F45" i="4"/>
  <c r="M44" i="4"/>
  <c r="O44" i="4" s="1"/>
  <c r="M43" i="4"/>
  <c r="O43" i="4" s="1"/>
  <c r="M42" i="4"/>
  <c r="M59" i="4" l="1"/>
  <c r="M60" i="4" s="1"/>
  <c r="O60" i="4" s="1"/>
  <c r="I60" i="4"/>
  <c r="F60" i="4"/>
  <c r="J60" i="4"/>
  <c r="I154" i="6"/>
  <c r="D154" i="6"/>
  <c r="L60" i="4"/>
  <c r="O45" i="4"/>
  <c r="H60" i="4"/>
  <c r="N60" i="4"/>
  <c r="I26" i="2" l="1"/>
  <c r="I12" i="2"/>
  <c r="G26" i="2"/>
  <c r="G12" i="2"/>
  <c r="I28" i="2" l="1"/>
  <c r="I30" i="2" s="1"/>
  <c r="G28" i="2"/>
  <c r="G30" i="2" s="1"/>
  <c r="C22" i="9"/>
  <c r="B49" i="11"/>
  <c r="D49" i="11"/>
  <c r="D37" i="11"/>
  <c r="D23" i="11"/>
  <c r="B23" i="11" l="1"/>
  <c r="D54" i="11" l="1"/>
  <c r="B51" i="11"/>
  <c r="B54" i="11" l="1"/>
  <c r="C13" i="10"/>
  <c r="C20" i="10" s="1"/>
  <c r="C22" i="10" s="1"/>
  <c r="I167" i="6" l="1"/>
  <c r="I122" i="6"/>
  <c r="I121" i="6"/>
  <c r="I120" i="6"/>
  <c r="I119" i="6"/>
  <c r="I118" i="6"/>
  <c r="I117" i="6"/>
  <c r="I116" i="6"/>
  <c r="I115" i="6"/>
  <c r="F110" i="6"/>
  <c r="I108" i="6"/>
  <c r="I107" i="6"/>
  <c r="I106" i="6"/>
  <c r="I105" i="6"/>
  <c r="I104" i="6"/>
  <c r="I103" i="6"/>
  <c r="I102" i="6"/>
  <c r="I101" i="6"/>
  <c r="I100" i="6"/>
  <c r="I109" i="6" l="1"/>
  <c r="I110" i="6" s="1"/>
  <c r="F26" i="2" l="1"/>
  <c r="F47" i="3" l="1"/>
  <c r="F31" i="3" l="1"/>
  <c r="H53" i="3" l="1"/>
  <c r="H55" i="3" s="1"/>
  <c r="F53" i="3"/>
  <c r="F55" i="3" s="1"/>
  <c r="E27" i="1" l="1"/>
  <c r="E15" i="1"/>
  <c r="E26" i="1" s="1"/>
  <c r="C25" i="8" l="1"/>
  <c r="E30" i="6"/>
  <c r="E26" i="6"/>
  <c r="I26" i="6" s="1"/>
  <c r="I18" i="6"/>
  <c r="D19" i="6"/>
  <c r="I19" i="6" s="1"/>
  <c r="F19" i="6"/>
  <c r="E17" i="6"/>
  <c r="I17" i="6" s="1"/>
  <c r="E16" i="6"/>
  <c r="E12" i="6"/>
  <c r="I12" i="6" s="1"/>
  <c r="E11" i="6"/>
  <c r="I11" i="6" s="1"/>
  <c r="E10" i="6"/>
  <c r="I10" i="6" s="1"/>
  <c r="H31" i="3"/>
  <c r="K15" i="4"/>
  <c r="K30" i="4" s="1"/>
  <c r="E18" i="1"/>
  <c r="H15" i="4"/>
  <c r="H30" i="4"/>
  <c r="I15" i="4"/>
  <c r="I30" i="4" s="1"/>
  <c r="L15" i="4"/>
  <c r="L30" i="4" s="1"/>
  <c r="H47" i="3"/>
  <c r="H56" i="3" s="1"/>
  <c r="M28" i="4"/>
  <c r="M23" i="4"/>
  <c r="O23" i="4" s="1"/>
  <c r="O28" i="4"/>
  <c r="M14" i="4"/>
  <c r="O14" i="4" s="1"/>
  <c r="I13" i="6"/>
  <c r="I14" i="6"/>
  <c r="I15" i="6"/>
  <c r="I16" i="6"/>
  <c r="H26" i="2"/>
  <c r="I27" i="6"/>
  <c r="I28" i="6"/>
  <c r="I29" i="6"/>
  <c r="I31" i="6"/>
  <c r="I32" i="6"/>
  <c r="J30" i="4"/>
  <c r="O13" i="4"/>
  <c r="M12" i="4"/>
  <c r="O12" i="4"/>
  <c r="G15" i="4"/>
  <c r="G30" i="4"/>
  <c r="N15" i="4"/>
  <c r="N30" i="4"/>
  <c r="F15" i="4"/>
  <c r="F30" i="4"/>
  <c r="M15" i="4" l="1"/>
  <c r="O15" i="4" s="1"/>
  <c r="O30" i="4" s="1"/>
  <c r="D20" i="6"/>
  <c r="I33" i="6"/>
  <c r="I30" i="6"/>
  <c r="F56" i="3"/>
  <c r="I20" i="6"/>
  <c r="E20" i="6"/>
  <c r="E31" i="1" l="1"/>
  <c r="E35" i="1" s="1"/>
  <c r="E38" i="1" s="1"/>
  <c r="E42" i="1" s="1"/>
  <c r="M30" i="4"/>
  <c r="C17" i="8"/>
  <c r="H12" i="2" l="1"/>
  <c r="H28" i="2" s="1"/>
  <c r="H30" i="2" s="1"/>
  <c r="F12" i="2"/>
  <c r="F28" i="2" s="1"/>
  <c r="F30" i="2" s="1"/>
  <c r="E46" i="1"/>
</calcChain>
</file>

<file path=xl/comments1.xml><?xml version="1.0" encoding="utf-8"?>
<comments xmlns="http://schemas.openxmlformats.org/spreadsheetml/2006/main">
  <authors>
    <author>user</author>
  </authors>
  <commentList>
    <comment ref="F43" authorId="0" shapeId="0">
      <text>
        <r>
          <rPr>
            <b/>
            <sz val="9"/>
            <color indexed="81"/>
            <rFont val="Tahoma"/>
            <family val="2"/>
          </rPr>
          <t>Retirement benefit - Gratuity</t>
        </r>
      </text>
    </comment>
    <comment ref="G43" authorId="0" shapeId="0">
      <text>
        <r>
          <rPr>
            <b/>
            <sz val="9"/>
            <color indexed="81"/>
            <rFont val="Tahoma"/>
            <family val="2"/>
          </rPr>
          <t>Retirement benefit - Gratuity</t>
        </r>
        <r>
          <rPr>
            <sz val="9"/>
            <color indexed="81"/>
            <rFont val="Tahoma"/>
            <family val="2"/>
          </rPr>
          <t xml:space="preserve">
</t>
        </r>
      </text>
    </comment>
  </commentList>
</comments>
</file>

<file path=xl/comments2.xml><?xml version="1.0" encoding="utf-8"?>
<comments xmlns="http://schemas.openxmlformats.org/spreadsheetml/2006/main">
  <authors>
    <author>user</author>
  </authors>
  <commentList>
    <comment ref="B8" authorId="0" shapeId="0">
      <text>
        <r>
          <rPr>
            <b/>
            <sz val="9"/>
            <color indexed="81"/>
            <rFont val="Tahoma"/>
            <family val="2"/>
          </rPr>
          <t xml:space="preserve">Sahana Ms.:
11-2A - Eligible Core Capital </t>
        </r>
        <r>
          <rPr>
            <sz val="9"/>
            <color indexed="81"/>
            <rFont val="Tahoma"/>
            <family val="2"/>
          </rPr>
          <t xml:space="preserve">
</t>
        </r>
      </text>
    </comment>
    <comment ref="C8" authorId="0" shapeId="0">
      <text>
        <r>
          <rPr>
            <b/>
            <sz val="9"/>
            <color indexed="81"/>
            <rFont val="Tahoma"/>
            <family val="2"/>
          </rPr>
          <t xml:space="preserve">Sahana Ms.:
11-2A - Eligible Core Capital </t>
        </r>
        <r>
          <rPr>
            <sz val="9"/>
            <color indexed="81"/>
            <rFont val="Tahoma"/>
            <family val="2"/>
          </rPr>
          <t xml:space="preserve">
</t>
        </r>
      </text>
    </comment>
    <comment ref="B9" authorId="0" shapeId="0">
      <text>
        <r>
          <rPr>
            <b/>
            <sz val="9"/>
            <color indexed="81"/>
            <rFont val="Tahoma"/>
            <family val="2"/>
          </rPr>
          <t>Sahana Ms.:
11-2A - Capital Base</t>
        </r>
        <r>
          <rPr>
            <sz val="9"/>
            <color indexed="81"/>
            <rFont val="Tahoma"/>
            <family val="2"/>
          </rPr>
          <t xml:space="preserve">
</t>
        </r>
      </text>
    </comment>
    <comment ref="C9" authorId="0" shapeId="0">
      <text>
        <r>
          <rPr>
            <b/>
            <sz val="9"/>
            <color indexed="81"/>
            <rFont val="Tahoma"/>
            <family val="2"/>
          </rPr>
          <t>Sahana Ms.:
11-2A - Capital Base</t>
        </r>
        <r>
          <rPr>
            <sz val="9"/>
            <color indexed="81"/>
            <rFont val="Tahoma"/>
            <family val="2"/>
          </rPr>
          <t xml:space="preserve">
</t>
        </r>
      </text>
    </comment>
  </commentList>
</comments>
</file>

<file path=xl/sharedStrings.xml><?xml version="1.0" encoding="utf-8"?>
<sst xmlns="http://schemas.openxmlformats.org/spreadsheetml/2006/main" count="733" uniqueCount="345">
  <si>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</si>
  <si>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</si>
  <si>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</si>
  <si>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</si>
  <si>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</si>
  <si>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</si>
  <si>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</si>
  <si>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</si>
  <si>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</si>
  <si>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</si>
  <si>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</si>
  <si>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</si>
  <si>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</si>
  <si>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</si>
  <si>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</si>
  <si>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</si>
  <si>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</si>
  <si>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</si>
  <si>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</si>
  <si>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</si>
  <si>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</si>
  <si>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</si>
  <si>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</si>
  <si>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</si>
  <si>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</si>
  <si>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</si>
  <si>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</si>
  <si>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</si>
  <si>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</si>
  <si>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</si>
  <si>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</si>
  <si>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</si>
  <si>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</si>
  <si>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</si>
  <si>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</si>
  <si>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</si>
  <si>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</si>
  <si>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</si>
  <si>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</si>
  <si>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</si>
  <si>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</si>
  <si>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</si>
  <si>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</si>
  <si>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</si>
  <si>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</si>
  <si>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</si>
  <si>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</si>
  <si>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</si>
  <si>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</si>
  <si>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</si>
  <si>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</si>
  <si>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</si>
  <si>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</si>
  <si>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</si>
  <si>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</si>
  <si>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</si>
  <si>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</si>
  <si>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</si>
  <si>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</si>
  <si>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</si>
  <si>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</si>
  <si>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</si>
  <si>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</si>
  <si>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</si>
  <si>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</si>
  <si>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</si>
  <si>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</si>
  <si>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</si>
  <si>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</si>
  <si>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</si>
  <si>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</si>
  <si>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</si>
  <si>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</si>
  <si>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</si>
  <si>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</si>
  <si>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</si>
  <si>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</si>
  <si>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</si>
  <si>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</si>
  <si>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</si>
  <si>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</si>
  <si>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</si>
  <si>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</si>
  <si>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</si>
  <si>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</si>
  <si>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</si>
  <si>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</si>
  <si>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</si>
  <si>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</si>
  <si>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</si>
  <si>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</si>
  <si>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</si>
  <si>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</si>
  <si>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</si>
  <si>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</si>
  <si>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</si>
  <si>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</si>
  <si>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</si>
  <si>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</si>
  <si>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</si>
  <si>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</si>
  <si>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</si>
  <si>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</si>
  <si>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</si>
  <si>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</si>
  <si>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</si>
  <si>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</si>
  <si>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</si>
  <si>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</si>
  <si>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</si>
  <si>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</si>
  <si>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</si>
  <si>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</si>
  <si>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</si>
  <si>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</si>
  <si>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</si>
  <si>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</si>
  <si>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</si>
  <si>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</si>
  <si>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</si>
  <si>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</si>
  <si>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</si>
  <si>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</si>
  <si>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</si>
  <si>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</si>
  <si>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</si>
  <si>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</si>
  <si>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</si>
  <si>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</si>
  <si>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</si>
  <si>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</si>
  <si>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</si>
  <si>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</si>
  <si>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</si>
  <si>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</si>
  <si>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</si>
  <si>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</si>
  <si>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</si>
  <si>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</si>
  <si>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</si>
  <si>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</si>
  <si>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</si>
  <si>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</si>
  <si>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</si>
  <si>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</si>
  <si>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</si>
  <si>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</si>
  <si>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</si>
  <si>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</si>
  <si>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</si>
  <si>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</si>
  <si>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</si>
  <si>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</si>
  <si>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</si>
  <si>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</si>
  <si>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</si>
  <si>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</si>
  <si>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</si>
  <si>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</si>
  <si>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</si>
  <si>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</si>
  <si>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</si>
  <si>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</si>
  <si>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</si>
  <si>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</si>
  <si>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</si>
  <si>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</si>
  <si>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</si>
  <si>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</si>
  <si>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</si>
  <si>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</si>
  <si>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</si>
  <si>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</si>
  <si>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</si>
  <si>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</si>
  <si>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</si>
  <si>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</si>
  <si>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</si>
  <si>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</si>
  <si>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</si>
  <si>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</si>
  <si>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</si>
  <si>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</si>
  <si>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</si>
  <si>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</si>
  <si>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</si>
  <si>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</si>
  <si>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</si>
  <si>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</si>
  <si>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</si>
  <si>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</si>
  <si>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</si>
  <si>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</si>
  <si>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</si>
  <si>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</si>
  <si>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</si>
  <si>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</si>
  <si>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</si>
  <si>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</si>
  <si>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</si>
  <si>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</si>
  <si>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</si>
  <si>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</si>
  <si>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</si>
  <si>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</si>
  <si>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</si>
  <si>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</si>
  <si>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</si>
  <si>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</si>
  <si>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</si>
  <si>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</si>
  <si>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</si>
  <si>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</si>
  <si>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</si>
  <si>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</si>
  <si>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</si>
  <si>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</si>
  <si>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</si>
  <si>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</si>
  <si>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</si>
  <si>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</si>
  <si>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</si>
  <si>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</si>
  <si>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</si>
  <si>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</si>
  <si>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</si>
  <si>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</si>
  <si>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</si>
  <si>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</si>
  <si>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</si>
  <si>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Other Loans (Demand /TC)</t>
  </si>
  <si>
    <t>Others-Foreign exchange gain - FCBU</t>
  </si>
  <si>
    <t>Certification</t>
  </si>
  <si>
    <t>HFT</t>
  </si>
  <si>
    <t>Other operating income (net)</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</si>
  <si>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</si>
  <si>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</si>
  <si>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</si>
  <si>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</si>
  <si>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</si>
  <si>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</si>
  <si>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</si>
  <si>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</si>
  <si>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</si>
  <si>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</si>
  <si>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</si>
  <si>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b. Bank - Previous Period</t>
  </si>
  <si>
    <t>Deffered tax liabilities</t>
  </si>
  <si>
    <t>SLDB Bonds</t>
  </si>
  <si>
    <t xml:space="preserve">Trade Finance </t>
  </si>
  <si>
    <t>In Rupees Thousand                                    LKR</t>
  </si>
  <si>
    <t>in INR milion (Audited)</t>
  </si>
  <si>
    <t>(Audited)</t>
  </si>
  <si>
    <t>Core Capital (Tier 1 Capital), Rs.'000</t>
  </si>
  <si>
    <t>Total Capital Base, Rs.'000</t>
  </si>
  <si>
    <t>SELECTED PERFORMANCE INDICATORS (AS PER REGULATORY REPORTING)</t>
  </si>
  <si>
    <t>AS AT 31.03.2016</t>
  </si>
  <si>
    <t>31/03/16</t>
  </si>
  <si>
    <t xml:space="preserve">Corporate Governance </t>
  </si>
  <si>
    <t>Risk  Management</t>
  </si>
  <si>
    <t xml:space="preserve">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
</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</si>
  <si>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</si>
  <si>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</si>
  <si>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S Subamuralitharan</t>
  </si>
  <si>
    <t>c. Group - Current period</t>
  </si>
  <si>
    <t>d. Group - Previous Period</t>
  </si>
  <si>
    <t>STATEMENT OF CASH FLOWS</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</si>
  <si>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</si>
  <si>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</si>
  <si>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</si>
  <si>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</si>
  <si>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</si>
  <si>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</si>
  <si>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</si>
  <si>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</si>
  <si>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</si>
  <si>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</si>
  <si>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</si>
  <si>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</si>
  <si>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</si>
  <si>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</si>
  <si>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</si>
  <si>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</si>
  <si>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</si>
  <si>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</si>
  <si>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</si>
  <si>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</si>
  <si>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</si>
  <si>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</si>
  <si>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</si>
  <si>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</si>
  <si>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</si>
  <si>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</si>
  <si>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</si>
  <si>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</si>
  <si>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</si>
  <si>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</si>
  <si>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</si>
  <si>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</si>
  <si>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</si>
  <si>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</si>
  <si>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</si>
  <si>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</si>
  <si>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</si>
  <si>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</si>
  <si>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</si>
  <si>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</si>
  <si>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</si>
  <si>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</si>
  <si>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</si>
  <si>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</si>
  <si>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</si>
  <si>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</si>
  <si>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</si>
  <si>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</si>
  <si>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</si>
  <si>
    <t>01.04.2016</t>
  </si>
  <si>
    <t xml:space="preserve">Previous Period </t>
  </si>
  <si>
    <t>31.03.2017</t>
  </si>
  <si>
    <t>AS AT 31.03.2017</t>
  </si>
  <si>
    <t>31/03/17</t>
  </si>
  <si>
    <t>53.32%</t>
  </si>
  <si>
    <t>53.53%</t>
  </si>
  <si>
    <t>31/03/2017</t>
  </si>
  <si>
    <t>Other Deposits (Dormant/Margin/Vostro)</t>
  </si>
  <si>
    <t>13.99%</t>
  </si>
  <si>
    <t>Financial Parameters</t>
  </si>
  <si>
    <t>01.04.2017</t>
  </si>
  <si>
    <t>Balance as at 01/04/2017</t>
  </si>
  <si>
    <t>In Rupees Thousand                                    INR</t>
  </si>
  <si>
    <t xml:space="preserve">in INR milion </t>
  </si>
  <si>
    <t xml:space="preserve">in LKR million </t>
  </si>
  <si>
    <t>(b) The information  contained in these  statements have been extracted from the unaudited financial statement of the Bank, unless indicated as audited.</t>
  </si>
  <si>
    <t>Regimol B G</t>
  </si>
  <si>
    <t>Country Head (Officiating)</t>
  </si>
  <si>
    <t>Bank (in LKR)</t>
  </si>
  <si>
    <t>FOR THE PERIOD ENDED 31.12.2017</t>
  </si>
  <si>
    <t>31.12.2017</t>
  </si>
  <si>
    <t>31.12.2016</t>
  </si>
  <si>
    <t>AS AT 31.12.2017</t>
  </si>
  <si>
    <t>Balance as at  31/12/2017</t>
  </si>
  <si>
    <t>AS AT 31.12.2016</t>
  </si>
  <si>
    <t>31/12/17</t>
  </si>
  <si>
    <t>31/12/2017</t>
  </si>
  <si>
    <t>Date: 21.02.2018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</si>
</sst>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 #,##0_-;_-* &quot;-&quot;_-;_-@_-"/>
  </numFmts>
  <fonts count="17"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
      <sz val="9"/>
      <color indexed="81"/>
      <name val="Tahoma"/>
      <family val="2"/>
    </font>
    <font>
      <b/>
      <sz val="9"/>
      <color indexed="81"/>
      <name val="Tahoma"/>
      <family val="2"/>
    </font>
    <font>
      <sz val="12"/>
      <name val="Calibri"/>
      <family val="2"/>
      <scheme val="minor"/>
    </font>
    <font>
      <b/>
      <sz val="11"/>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3" tint="0.39997558519241921"/>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cellStyleXfs>
  <cellXfs count="366">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4" fillId="0" borderId="1" xfId="0" applyNumberFormat="1" applyFont="1" applyBorder="1"/>
    <xf numFmtId="49" fontId="5" fillId="0" borderId="1" xfId="0" applyNumberFormat="1" applyFont="1" applyBorder="1"/>
    <xf numFmtId="49" fontId="4" fillId="0" borderId="2" xfId="0" applyNumberFormat="1" applyFont="1" applyBorder="1"/>
    <xf numFmtId="49" fontId="5" fillId="0" borderId="2" xfId="0" applyNumberFormat="1" applyFont="1" applyBorder="1"/>
    <xf numFmtId="49" fontId="5" fillId="0" borderId="3" xfId="0" applyNumberFormat="1" applyFont="1" applyBorder="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2" fontId="4" fillId="0" borderId="5" xfId="0" applyNumberFormat="1" applyFont="1" applyBorder="1"/>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0" borderId="17" xfId="0" applyNumberFormat="1" applyFont="1" applyBorder="1"/>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5" fillId="0" borderId="17" xfId="0"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5" fillId="2" borderId="3" xfId="0" applyNumberFormat="1" applyFont="1" applyFill="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164" fontId="5" fillId="0" borderId="4" xfId="1" applyNumberFormat="1" applyFont="1" applyBorder="1"/>
    <xf numFmtId="164" fontId="5" fillId="0" borderId="21" xfId="1" applyNumberFormat="1" applyFont="1" applyBorder="1"/>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164" fontId="8" fillId="0" borderId="17" xfId="1" applyNumberFormat="1" applyFont="1"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49" fontId="5" fillId="2" borderId="2" xfId="0" applyNumberFormat="1" applyFont="1" applyFill="1" applyBorder="1"/>
    <xf numFmtId="49" fontId="5" fillId="2" borderId="17" xfId="0" applyNumberFormat="1"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4" fillId="3" borderId="20" xfId="0" applyNumberFormat="1" applyFont="1" applyFill="1" applyBorder="1" applyAlignment="1">
      <alignment horizontal="center" vertical="center"/>
    </xf>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5" xfId="0" applyNumberForma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164" fontId="0" fillId="0" borderId="0" xfId="1" applyNumberFormat="1" applyFont="1"/>
    <xf numFmtId="10" fontId="5" fillId="0" borderId="5" xfId="3" applyNumberFormat="1" applyFont="1" applyBorder="1" applyAlignment="1">
      <alignment horizontal="right"/>
    </xf>
    <xf numFmtId="49" fontId="4" fillId="0" borderId="20" xfId="0" applyNumberFormat="1" applyFont="1" applyFill="1" applyBorder="1" applyAlignment="1">
      <alignment horizontal="center"/>
    </xf>
    <xf numFmtId="0" fontId="10" fillId="0" borderId="0" xfId="0" applyFont="1" applyAlignment="1">
      <alignment horizontal="left"/>
    </xf>
    <xf numFmtId="0" fontId="11" fillId="0" borderId="0" xfId="0" applyFont="1" applyBorder="1"/>
    <xf numFmtId="165" fontId="11" fillId="0" borderId="0" xfId="0" applyNumberFormat="1" applyFont="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7"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49" fontId="4" fillId="6" borderId="4" xfId="0" applyNumberFormat="1" applyFont="1" applyFill="1" applyBorder="1"/>
    <xf numFmtId="49" fontId="4" fillId="6" borderId="4" xfId="0" applyNumberFormat="1" applyFont="1" applyFill="1" applyBorder="1" applyAlignment="1">
      <alignment horizontal="center" vertical="center"/>
    </xf>
    <xf numFmtId="49" fontId="5" fillId="6" borderId="7" xfId="0" applyNumberFormat="1" applyFont="1" applyFill="1" applyBorder="1"/>
    <xf numFmtId="49" fontId="4" fillId="6" borderId="7" xfId="0" applyNumberFormat="1" applyFont="1" applyFill="1" applyBorder="1" applyAlignment="1">
      <alignment horizontal="center" vertical="center"/>
    </xf>
    <xf numFmtId="49" fontId="4" fillId="6" borderId="6" xfId="0" applyNumberFormat="1" applyFont="1" applyFill="1" applyBorder="1"/>
    <xf numFmtId="49" fontId="4" fillId="6"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6" borderId="18" xfId="0" applyNumberFormat="1" applyFont="1" applyFill="1" applyBorder="1"/>
    <xf numFmtId="49" fontId="5" fillId="6" borderId="0" xfId="0" applyNumberFormat="1" applyFont="1" applyFill="1" applyBorder="1"/>
    <xf numFmtId="49" fontId="5" fillId="6" borderId="26" xfId="0" applyNumberFormat="1" applyFont="1" applyFill="1" applyBorder="1"/>
    <xf numFmtId="49" fontId="5" fillId="6" borderId="27" xfId="0" applyNumberFormat="1" applyFont="1" applyFill="1" applyBorder="1"/>
    <xf numFmtId="49" fontId="5" fillId="6" borderId="22" xfId="0" applyNumberFormat="1" applyFont="1" applyFill="1" applyBorder="1"/>
    <xf numFmtId="49" fontId="5" fillId="6" borderId="28" xfId="0" applyNumberFormat="1" applyFont="1" applyFill="1" applyBorder="1"/>
    <xf numFmtId="164" fontId="5" fillId="0" borderId="20" xfId="2" applyNumberFormat="1" applyFont="1" applyBorder="1" applyAlignment="1"/>
    <xf numFmtId="164" fontId="4" fillId="0" borderId="20" xfId="2" applyNumberFormat="1" applyFont="1" applyBorder="1" applyAlignment="1"/>
    <xf numFmtId="49" fontId="5" fillId="6" borderId="19" xfId="0" applyNumberFormat="1" applyFont="1" applyFill="1" applyBorder="1"/>
    <xf numFmtId="49" fontId="5" fillId="6" borderId="1" xfId="0" applyNumberFormat="1" applyFont="1" applyFill="1" applyBorder="1"/>
    <xf numFmtId="49" fontId="5" fillId="6" borderId="25"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0" fontId="7" fillId="0" borderId="0" xfId="0" applyFont="1" applyAlignment="1">
      <alignment horizontal="left"/>
    </xf>
    <xf numFmtId="0" fontId="3" fillId="0" borderId="0" xfId="0" applyFont="1" applyAlignment="1"/>
    <xf numFmtId="164" fontId="3" fillId="0" borderId="20" xfId="1" applyNumberFormat="1" applyFont="1" applyBorder="1"/>
    <xf numFmtId="164" fontId="3" fillId="0" borderId="29" xfId="1" applyNumberFormat="1" applyFont="1" applyBorder="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xf numFmtId="164" fontId="4" fillId="0" borderId="5" xfId="1" applyNumberFormat="1" applyFont="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5" fillId="2" borderId="25" xfId="0" applyNumberFormat="1" applyFont="1" applyFill="1" applyBorder="1"/>
    <xf numFmtId="10" fontId="15" fillId="0" borderId="0" xfId="0" applyNumberFormat="1" applyFont="1" applyFill="1" applyBorder="1"/>
    <xf numFmtId="164" fontId="8" fillId="0" borderId="5" xfId="1" applyNumberFormat="1" applyFont="1" applyFill="1" applyBorder="1"/>
    <xf numFmtId="164" fontId="4" fillId="0" borderId="5" xfId="2" applyNumberFormat="1" applyFont="1" applyFill="1" applyBorder="1"/>
    <xf numFmtId="164" fontId="4" fillId="0" borderId="4" xfId="2" applyNumberFormat="1" applyFont="1" applyBorder="1" applyAlignment="1">
      <alignment horizontal="center" wrapText="1"/>
    </xf>
    <xf numFmtId="164" fontId="4" fillId="2" borderId="7" xfId="2" applyNumberFormat="1" applyFont="1" applyFill="1" applyBorder="1" applyAlignment="1">
      <alignment horizontal="center"/>
    </xf>
    <xf numFmtId="164" fontId="4" fillId="0" borderId="6" xfId="2" applyNumberFormat="1" applyFont="1" applyBorder="1" applyAlignment="1">
      <alignment horizontal="center"/>
    </xf>
    <xf numFmtId="2" fontId="4" fillId="2" borderId="6" xfId="2" applyNumberFormat="1" applyFont="1" applyFill="1" applyBorder="1" applyAlignment="1">
      <alignment horizontal="center"/>
    </xf>
    <xf numFmtId="164" fontId="4" fillId="0" borderId="5" xfId="1" applyNumberFormat="1" applyFont="1" applyBorder="1" applyAlignment="1"/>
    <xf numFmtId="164" fontId="4" fillId="0" borderId="17" xfId="1" applyNumberFormat="1" applyFont="1" applyBorder="1" applyAlignment="1"/>
    <xf numFmtId="49" fontId="5" fillId="2" borderId="21" xfId="0" applyNumberFormat="1" applyFont="1" applyFill="1" applyBorder="1"/>
    <xf numFmtId="49" fontId="4" fillId="0" borderId="5" xfId="0" applyNumberFormat="1" applyFont="1" applyFill="1" applyBorder="1" applyAlignment="1">
      <alignment horizontal="center" vertical="center" wrapText="1"/>
    </xf>
    <xf numFmtId="49" fontId="5" fillId="0" borderId="17" xfId="0" applyNumberFormat="1" applyFont="1" applyBorder="1" applyAlignment="1">
      <alignment horizontal="right"/>
    </xf>
    <xf numFmtId="49" fontId="4" fillId="0" borderId="0" xfId="0" applyNumberFormat="1" applyFont="1" applyFill="1" applyBorder="1"/>
    <xf numFmtId="0" fontId="3" fillId="0" borderId="6" xfId="0" applyFont="1" applyFill="1" applyBorder="1"/>
    <xf numFmtId="2" fontId="16" fillId="0" borderId="0" xfId="0" applyNumberFormat="1" applyFont="1"/>
    <xf numFmtId="49" fontId="16" fillId="0" borderId="0" xfId="0" applyNumberFormat="1" applyFont="1"/>
    <xf numFmtId="9" fontId="5" fillId="0" borderId="5" xfId="3" applyFont="1" applyBorder="1" applyAlignment="1">
      <alignment horizontal="right"/>
    </xf>
    <xf numFmtId="49" fontId="4" fillId="0" borderId="7" xfId="0" applyNumberFormat="1" applyFont="1" applyFill="1" applyBorder="1" applyAlignment="1">
      <alignment horizontal="center"/>
    </xf>
    <xf numFmtId="10" fontId="15" fillId="0" borderId="7" xfId="0" applyNumberFormat="1" applyFont="1" applyFill="1" applyBorder="1"/>
    <xf numFmtId="10" fontId="5" fillId="0" borderId="5" xfId="3" applyNumberFormat="1" applyFont="1" applyFill="1" applyBorder="1" applyAlignment="1">
      <alignment horizontal="right"/>
    </xf>
    <xf numFmtId="43" fontId="0" fillId="0" borderId="17" xfId="1" applyFont="1" applyFill="1" applyBorder="1"/>
    <xf numFmtId="49" fontId="4" fillId="0" borderId="3" xfId="0" applyNumberFormat="1" applyFont="1" applyFill="1" applyBorder="1" applyAlignment="1"/>
    <xf numFmtId="49" fontId="4" fillId="0" borderId="21" xfId="0" applyNumberFormat="1" applyFont="1" applyFill="1" applyBorder="1" applyAlignment="1"/>
    <xf numFmtId="0" fontId="0" fillId="0" borderId="0" xfId="0" applyFill="1"/>
    <xf numFmtId="49" fontId="4" fillId="0" borderId="0" xfId="0" applyNumberFormat="1" applyFont="1" applyFill="1" applyBorder="1" applyAlignment="1"/>
    <xf numFmtId="49" fontId="4" fillId="0" borderId="26" xfId="0" applyNumberFormat="1" applyFont="1" applyFill="1" applyBorder="1" applyAlignment="1"/>
    <xf numFmtId="49" fontId="5" fillId="0" borderId="38" xfId="0" applyNumberFormat="1" applyFont="1" applyFill="1" applyBorder="1"/>
    <xf numFmtId="49" fontId="4" fillId="0" borderId="18" xfId="0" applyNumberFormat="1" applyFont="1" applyFill="1" applyBorder="1"/>
    <xf numFmtId="49" fontId="4" fillId="0" borderId="7" xfId="0" applyNumberFormat="1" applyFont="1" applyFill="1" applyBorder="1" applyAlignment="1">
      <alignment wrapText="1"/>
    </xf>
    <xf numFmtId="49" fontId="5" fillId="0" borderId="18" xfId="0" applyNumberFormat="1" applyFont="1" applyFill="1" applyBorder="1"/>
    <xf numFmtId="49" fontId="5" fillId="0" borderId="19" xfId="0" applyNumberFormat="1" applyFont="1" applyFill="1" applyBorder="1"/>
    <xf numFmtId="49" fontId="4" fillId="0" borderId="6" xfId="0" applyNumberFormat="1" applyFont="1" applyFill="1" applyBorder="1" applyAlignment="1">
      <alignment horizontal="center" wrapText="1"/>
    </xf>
    <xf numFmtId="49" fontId="4" fillId="0" borderId="5" xfId="0" applyNumberFormat="1" applyFont="1" applyFill="1" applyBorder="1"/>
    <xf numFmtId="2" fontId="4" fillId="0" borderId="5" xfId="0" applyNumberFormat="1" applyFont="1" applyFill="1" applyBorder="1"/>
    <xf numFmtId="49" fontId="5" fillId="0" borderId="5" xfId="0" applyNumberFormat="1" applyFont="1" applyFill="1" applyBorder="1"/>
    <xf numFmtId="164" fontId="5" fillId="0" borderId="5" xfId="2" applyNumberFormat="1" applyFont="1" applyFill="1" applyBorder="1" applyAlignment="1">
      <alignment horizontal="right"/>
    </xf>
    <xf numFmtId="164" fontId="4" fillId="0" borderId="5" xfId="2" applyNumberFormat="1" applyFont="1" applyFill="1" applyBorder="1" applyAlignment="1">
      <alignment horizontal="right"/>
    </xf>
    <xf numFmtId="164" fontId="0" fillId="0" borderId="0" xfId="0" applyNumberFormat="1" applyFill="1"/>
    <xf numFmtId="164" fontId="4" fillId="0" borderId="5" xfId="1" applyNumberFormat="1" applyFont="1" applyBorder="1" applyAlignment="1">
      <alignment horizontal="center"/>
    </xf>
    <xf numFmtId="49" fontId="4" fillId="0" borderId="5" xfId="0" applyNumberFormat="1" applyFont="1" applyFill="1" applyBorder="1" applyAlignment="1">
      <alignment horizontal="center"/>
    </xf>
    <xf numFmtId="164" fontId="4" fillId="0" borderId="4" xfId="1" applyNumberFormat="1" applyFont="1" applyFill="1" applyBorder="1" applyAlignment="1">
      <alignment horizontal="center" wrapText="1"/>
    </xf>
    <xf numFmtId="164" fontId="4" fillId="0" borderId="4" xfId="2" applyNumberFormat="1" applyFont="1" applyFill="1" applyBorder="1" applyAlignment="1">
      <alignment horizontal="center" wrapText="1"/>
    </xf>
    <xf numFmtId="164" fontId="4" fillId="0" borderId="7" xfId="1" applyNumberFormat="1" applyFont="1" applyFill="1" applyBorder="1" applyAlignment="1">
      <alignment horizontal="center"/>
    </xf>
    <xf numFmtId="164" fontId="4" fillId="0" borderId="7" xfId="2" applyNumberFormat="1" applyFont="1" applyFill="1" applyBorder="1" applyAlignment="1">
      <alignment horizontal="center"/>
    </xf>
    <xf numFmtId="164" fontId="4" fillId="0" borderId="6" xfId="2" applyNumberFormat="1" applyFont="1" applyFill="1" applyBorder="1" applyAlignment="1">
      <alignment horizontal="center"/>
    </xf>
    <xf numFmtId="2" fontId="4" fillId="0" borderId="6" xfId="1" applyNumberFormat="1" applyFont="1" applyFill="1" applyBorder="1" applyAlignment="1">
      <alignment horizontal="center"/>
    </xf>
    <xf numFmtId="2" fontId="4" fillId="0" borderId="6" xfId="2" applyNumberFormat="1" applyFont="1" applyFill="1" applyBorder="1" applyAlignment="1">
      <alignment horizontal="center"/>
    </xf>
    <xf numFmtId="164" fontId="4" fillId="0" borderId="5" xfId="1" applyNumberFormat="1" applyFont="1" applyFill="1" applyBorder="1"/>
    <xf numFmtId="164" fontId="5" fillId="0" borderId="5" xfId="1" applyNumberFormat="1" applyFont="1" applyFill="1" applyBorder="1" applyAlignment="1">
      <alignment horizontal="right"/>
    </xf>
    <xf numFmtId="10" fontId="5" fillId="0" borderId="5" xfId="1" applyNumberFormat="1" applyFont="1" applyFill="1" applyBorder="1"/>
    <xf numFmtId="10" fontId="5" fillId="0" borderId="5" xfId="2" applyNumberFormat="1" applyFont="1" applyFill="1" applyBorder="1"/>
    <xf numFmtId="2" fontId="4" fillId="0" borderId="7" xfId="1" applyNumberFormat="1" applyFont="1" applyFill="1" applyBorder="1" applyAlignment="1">
      <alignment horizontal="center"/>
    </xf>
    <xf numFmtId="2" fontId="5" fillId="0" borderId="5" xfId="1" applyNumberFormat="1" applyFont="1" applyFill="1" applyBorder="1"/>
    <xf numFmtId="164" fontId="2" fillId="0" borderId="0" xfId="1" applyNumberFormat="1" applyFont="1" applyFill="1"/>
    <xf numFmtId="4" fontId="2" fillId="0" borderId="0" xfId="1" applyNumberFormat="1" applyFont="1" applyFill="1"/>
    <xf numFmtId="2" fontId="2" fillId="0" borderId="0" xfId="1" applyNumberFormat="1" applyFont="1" applyFill="1"/>
    <xf numFmtId="10" fontId="5" fillId="0" borderId="5" xfId="0" applyNumberFormat="1" applyFont="1" applyFill="1" applyBorder="1" applyAlignment="1">
      <alignment horizontal="right"/>
    </xf>
    <xf numFmtId="164" fontId="4" fillId="0" borderId="5" xfId="1" applyNumberFormat="1" applyFont="1" applyBorder="1" applyAlignment="1">
      <alignment horizontal="center"/>
    </xf>
    <xf numFmtId="164" fontId="4" fillId="0" borderId="5" xfId="1" applyNumberFormat="1" applyFont="1" applyFill="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Fill="1" applyBorder="1" applyAlignment="1">
      <alignment horizontal="center"/>
    </xf>
    <xf numFmtId="164" fontId="4" fillId="0" borderId="17" xfId="1" applyNumberFormat="1" applyFont="1" applyFill="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2" fontId="4" fillId="0" borderId="20" xfId="1" applyNumberFormat="1" applyFont="1" applyFill="1" applyBorder="1" applyAlignment="1">
      <alignment horizontal="center"/>
    </xf>
    <xf numFmtId="2" fontId="4" fillId="0" borderId="17" xfId="1" applyNumberFormat="1" applyFont="1" applyFill="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5" borderId="20" xfId="0" applyNumberFormat="1" applyFont="1" applyFill="1" applyBorder="1" applyAlignment="1">
      <alignment horizontal="center"/>
    </xf>
    <xf numFmtId="49" fontId="4" fillId="5" borderId="2" xfId="0" applyNumberFormat="1" applyFont="1" applyFill="1" applyBorder="1" applyAlignment="1">
      <alignment horizontal="center"/>
    </xf>
    <xf numFmtId="49" fontId="4" fillId="5" borderId="17" xfId="0" applyNumberFormat="1" applyFont="1" applyFill="1" applyBorder="1" applyAlignment="1">
      <alignment horizontal="center"/>
    </xf>
    <xf numFmtId="49" fontId="4" fillId="3" borderId="4"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6" borderId="19" xfId="0" applyNumberFormat="1" applyFont="1" applyFill="1" applyBorder="1" applyAlignment="1">
      <alignment horizontal="center"/>
    </xf>
    <xf numFmtId="49" fontId="4" fillId="6" borderId="1" xfId="0" applyNumberFormat="1" applyFont="1" applyFill="1" applyBorder="1" applyAlignment="1">
      <alignment horizontal="center"/>
    </xf>
    <xf numFmtId="49" fontId="4" fillId="6" borderId="25" xfId="0" applyNumberFormat="1" applyFont="1" applyFill="1" applyBorder="1" applyAlignment="1">
      <alignment horizontal="center"/>
    </xf>
    <xf numFmtId="49" fontId="4" fillId="6" borderId="18" xfId="0" applyNumberFormat="1" applyFont="1" applyFill="1" applyBorder="1" applyAlignment="1">
      <alignment horizontal="center"/>
    </xf>
    <xf numFmtId="49" fontId="4" fillId="6" borderId="0" xfId="0" applyNumberFormat="1" applyFont="1" applyFill="1" applyBorder="1" applyAlignment="1">
      <alignment horizontal="center"/>
    </xf>
    <xf numFmtId="49" fontId="4" fillId="6" borderId="26" xfId="0" applyNumberFormat="1" applyFont="1" applyFill="1" applyBorder="1" applyAlignment="1">
      <alignment horizontal="center"/>
    </xf>
    <xf numFmtId="49" fontId="4" fillId="6" borderId="38" xfId="0" applyNumberFormat="1" applyFont="1" applyFill="1" applyBorder="1" applyAlignment="1">
      <alignment horizontal="center"/>
    </xf>
    <xf numFmtId="49" fontId="4" fillId="6" borderId="3" xfId="0" applyNumberFormat="1" applyFont="1" applyFill="1" applyBorder="1" applyAlignment="1">
      <alignment horizontal="center"/>
    </xf>
    <xf numFmtId="49" fontId="4" fillId="6" borderId="21" xfId="0" applyNumberFormat="1" applyFont="1" applyFill="1" applyBorder="1" applyAlignment="1">
      <alignment horizontal="center"/>
    </xf>
    <xf numFmtId="49" fontId="4" fillId="0" borderId="20" xfId="0" applyNumberFormat="1" applyFont="1" applyFill="1" applyBorder="1" applyAlignment="1">
      <alignment horizontal="left"/>
    </xf>
    <xf numFmtId="49" fontId="4" fillId="0" borderId="2" xfId="0" applyNumberFormat="1" applyFont="1" applyFill="1" applyBorder="1" applyAlignment="1">
      <alignment horizontal="left"/>
    </xf>
    <xf numFmtId="49" fontId="4" fillId="0" borderId="17" xfId="0" applyNumberFormat="1" applyFont="1" applyFill="1" applyBorder="1" applyAlignment="1">
      <alignment horizontal="left"/>
    </xf>
    <xf numFmtId="49" fontId="4" fillId="0" borderId="19" xfId="0" applyNumberFormat="1" applyFont="1" applyFill="1" applyBorder="1" applyAlignment="1">
      <alignment horizontal="left"/>
    </xf>
    <xf numFmtId="49" fontId="4" fillId="0" borderId="1" xfId="0" applyNumberFormat="1" applyFont="1" applyFill="1" applyBorder="1" applyAlignment="1">
      <alignment horizontal="left"/>
    </xf>
    <xf numFmtId="49" fontId="4" fillId="0" borderId="25" xfId="0" applyNumberFormat="1" applyFont="1" applyFill="1" applyBorder="1" applyAlignment="1">
      <alignment horizontal="left"/>
    </xf>
    <xf numFmtId="49" fontId="4" fillId="0" borderId="19" xfId="0" applyNumberFormat="1" applyFont="1" applyFill="1" applyBorder="1" applyAlignment="1">
      <alignment horizontal="center"/>
    </xf>
    <xf numFmtId="49" fontId="4" fillId="0" borderId="1" xfId="0" applyNumberFormat="1" applyFont="1" applyFill="1" applyBorder="1" applyAlignment="1">
      <alignment horizontal="center"/>
    </xf>
    <xf numFmtId="49" fontId="4" fillId="0" borderId="2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38" xfId="0" applyNumberFormat="1" applyFont="1" applyFill="1" applyBorder="1" applyAlignment="1">
      <alignment horizontal="center"/>
    </xf>
    <xf numFmtId="49" fontId="4" fillId="0" borderId="3"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0" xfId="0" applyNumberFormat="1" applyFont="1" applyFill="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5" xfId="0" applyNumberFormat="1" applyFont="1" applyBorder="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5" xfId="0" applyBorder="1" applyAlignment="1"/>
    <xf numFmtId="0" fontId="0" fillId="0" borderId="15" xfId="0" applyBorder="1" applyAlignment="1">
      <alignment horizontal="left"/>
    </xf>
    <xf numFmtId="0" fontId="0" fillId="0" borderId="5" xfId="0" applyBorder="1" applyAlignment="1">
      <alignment horizontal="left"/>
    </xf>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Fill="1" applyBorder="1" applyAlignment="1">
      <alignment horizontal="left"/>
    </xf>
    <xf numFmtId="0" fontId="0" fillId="0" borderId="5" xfId="0"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cellXfs>
  <cellStyles count="4">
    <cellStyle name="Comma" xfId="1" builtinId="3"/>
    <cellStyle name="Comma 2" xfId="2"/>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tabSelected="1" workbookViewId="0">
      <selection activeCell="B1" sqref="B1:H1"/>
    </sheetView>
  </sheetViews>
  <sheetFormatPr defaultRowHeight="15" x14ac:dyDescent="0.25"/>
  <cols>
    <col min="1" max="1" width="9.140625" style="1" customWidth="1"/>
    <col min="2" max="2" width="42.42578125" style="1" bestFit="1" customWidth="1"/>
    <col min="3" max="4" width="0" style="1" hidden="1" customWidth="1"/>
    <col min="5" max="5" width="16.140625" style="13" bestFit="1" customWidth="1"/>
    <col min="6" max="6" width="17.28515625" style="13" bestFit="1" customWidth="1"/>
    <col min="7" max="7" width="16.140625" style="13" bestFit="1" customWidth="1"/>
    <col min="8" max="8" width="17.28515625" style="13" bestFit="1" customWidth="1"/>
    <col min="9" max="16384" width="9.140625" style="1"/>
  </cols>
  <sheetData>
    <row r="1" spans="2:8" ht="15.75" x14ac:dyDescent="0.25">
      <c r="B1" s="285" t="s">
        <v>39</v>
      </c>
      <c r="C1" s="286"/>
      <c r="D1" s="286"/>
      <c r="E1" s="286"/>
      <c r="F1" s="286"/>
      <c r="G1" s="286"/>
      <c r="H1" s="287"/>
    </row>
    <row r="2" spans="2:8" ht="15.75" x14ac:dyDescent="0.25">
      <c r="B2" s="288" t="s">
        <v>0</v>
      </c>
      <c r="C2" s="289"/>
      <c r="D2" s="289"/>
      <c r="E2" s="289"/>
      <c r="F2" s="289"/>
      <c r="G2" s="289"/>
      <c r="H2" s="290"/>
    </row>
    <row r="3" spans="2:8" ht="15.75" x14ac:dyDescent="0.25">
      <c r="B3" s="288" t="s">
        <v>336</v>
      </c>
      <c r="C3" s="289"/>
      <c r="D3" s="289"/>
      <c r="E3" s="289"/>
      <c r="F3" s="289"/>
      <c r="G3" s="289"/>
      <c r="H3" s="290"/>
    </row>
    <row r="4" spans="2:8" ht="15.75" x14ac:dyDescent="0.25">
      <c r="B4" s="291"/>
      <c r="C4" s="292"/>
      <c r="D4" s="292"/>
      <c r="E4" s="292"/>
      <c r="F4" s="292"/>
      <c r="G4" s="292"/>
      <c r="H4" s="293"/>
    </row>
    <row r="5" spans="2:8" ht="15.75" x14ac:dyDescent="0.25">
      <c r="B5" s="60"/>
      <c r="C5" s="8"/>
      <c r="D5" s="8"/>
      <c r="E5" s="283" t="s">
        <v>34</v>
      </c>
      <c r="F5" s="283"/>
      <c r="G5" s="284" t="s">
        <v>45</v>
      </c>
      <c r="H5" s="284"/>
    </row>
    <row r="6" spans="2:8" ht="15.75" x14ac:dyDescent="0.25">
      <c r="B6" s="61" t="s">
        <v>1</v>
      </c>
      <c r="C6" s="3"/>
      <c r="D6" s="3"/>
      <c r="E6" s="128" t="s">
        <v>239</v>
      </c>
      <c r="F6" s="229" t="s">
        <v>317</v>
      </c>
      <c r="G6" s="266" t="s">
        <v>239</v>
      </c>
      <c r="H6" s="267" t="s">
        <v>317</v>
      </c>
    </row>
    <row r="7" spans="2:8" ht="15.75" x14ac:dyDescent="0.25">
      <c r="B7" s="61"/>
      <c r="C7" s="3"/>
      <c r="D7" s="3"/>
      <c r="E7" s="129" t="s">
        <v>36</v>
      </c>
      <c r="F7" s="230" t="s">
        <v>36</v>
      </c>
      <c r="G7" s="268" t="s">
        <v>36</v>
      </c>
      <c r="H7" s="269" t="s">
        <v>36</v>
      </c>
    </row>
    <row r="8" spans="2:8" ht="15.75" x14ac:dyDescent="0.25">
      <c r="B8" s="59"/>
      <c r="C8" s="3"/>
      <c r="D8" s="3"/>
      <c r="E8" s="129" t="s">
        <v>327</v>
      </c>
      <c r="F8" s="230" t="s">
        <v>316</v>
      </c>
      <c r="G8" s="268" t="s">
        <v>327</v>
      </c>
      <c r="H8" s="269" t="s">
        <v>316</v>
      </c>
    </row>
    <row r="9" spans="2:8" ht="15.75" x14ac:dyDescent="0.25">
      <c r="B9" s="59"/>
      <c r="C9" s="3"/>
      <c r="D9" s="3"/>
      <c r="E9" s="129" t="s">
        <v>37</v>
      </c>
      <c r="F9" s="230" t="s">
        <v>37</v>
      </c>
      <c r="G9" s="268" t="s">
        <v>37</v>
      </c>
      <c r="H9" s="269" t="s">
        <v>37</v>
      </c>
    </row>
    <row r="10" spans="2:8" ht="15.75" x14ac:dyDescent="0.25">
      <c r="B10" s="59"/>
      <c r="C10" s="3"/>
      <c r="D10" s="3"/>
      <c r="E10" s="81" t="s">
        <v>337</v>
      </c>
      <c r="F10" s="81" t="s">
        <v>338</v>
      </c>
      <c r="G10" s="243" t="s">
        <v>337</v>
      </c>
      <c r="H10" s="243" t="s">
        <v>338</v>
      </c>
    </row>
    <row r="11" spans="2:8" ht="15.75" x14ac:dyDescent="0.25">
      <c r="B11" s="59"/>
      <c r="C11" s="5"/>
      <c r="D11" s="5"/>
      <c r="E11" s="130" t="s">
        <v>181</v>
      </c>
      <c r="F11" s="231" t="s">
        <v>181</v>
      </c>
      <c r="G11" s="270" t="s">
        <v>182</v>
      </c>
      <c r="H11" s="270" t="s">
        <v>182</v>
      </c>
    </row>
    <row r="12" spans="2:8" ht="15.75" x14ac:dyDescent="0.25">
      <c r="B12" s="176"/>
      <c r="C12" s="9"/>
      <c r="D12" s="9"/>
      <c r="E12" s="132"/>
      <c r="F12" s="232"/>
      <c r="G12" s="271"/>
      <c r="H12" s="272"/>
    </row>
    <row r="13" spans="2:8" ht="15.75" x14ac:dyDescent="0.25">
      <c r="B13" s="32" t="s">
        <v>2</v>
      </c>
      <c r="C13" s="3"/>
      <c r="D13" s="3"/>
      <c r="E13" s="34">
        <v>1591281</v>
      </c>
      <c r="F13" s="168">
        <v>1350370</v>
      </c>
      <c r="G13" s="165">
        <f>130876584700.77/1000</f>
        <v>130876584.70077001</v>
      </c>
      <c r="H13" s="201">
        <v>150890166.495</v>
      </c>
    </row>
    <row r="14" spans="2:8" ht="15.75" x14ac:dyDescent="0.25">
      <c r="B14" s="32" t="s">
        <v>3</v>
      </c>
      <c r="C14" s="5"/>
      <c r="D14" s="5"/>
      <c r="E14" s="34">
        <v>583534</v>
      </c>
      <c r="F14" s="168">
        <v>370217</v>
      </c>
      <c r="G14" s="165">
        <f>93531118004.57/1000</f>
        <v>93531118.004570007</v>
      </c>
      <c r="H14" s="201">
        <v>112233791.699</v>
      </c>
    </row>
    <row r="15" spans="2:8" s="14" customFormat="1" ht="15.75" x14ac:dyDescent="0.25">
      <c r="B15" s="31" t="s">
        <v>4</v>
      </c>
      <c r="C15" s="2"/>
      <c r="D15" s="2"/>
      <c r="E15" s="35">
        <f>+E13-E14</f>
        <v>1007747</v>
      </c>
      <c r="F15" s="187">
        <f>+F13-F14</f>
        <v>980153</v>
      </c>
      <c r="G15" s="273">
        <f>+G13-G14</f>
        <v>37345466.696199998</v>
      </c>
      <c r="H15" s="228">
        <v>38656374.796000004</v>
      </c>
    </row>
    <row r="16" spans="2:8" ht="15.75" x14ac:dyDescent="0.25">
      <c r="B16" s="32" t="s">
        <v>5</v>
      </c>
      <c r="C16" s="3"/>
      <c r="D16" s="3"/>
      <c r="E16" s="34">
        <f>48382-8-15178</f>
        <v>33196</v>
      </c>
      <c r="F16" s="168">
        <v>58954</v>
      </c>
      <c r="G16" s="165">
        <f>6662597135.3/1000</f>
        <v>6662597.1353000002</v>
      </c>
      <c r="H16" s="201">
        <v>5587126.9939999999</v>
      </c>
    </row>
    <row r="17" spans="2:16" ht="15.75" x14ac:dyDescent="0.25">
      <c r="B17" s="32" t="s">
        <v>6</v>
      </c>
      <c r="C17" s="5"/>
      <c r="D17" s="5"/>
      <c r="E17" s="34">
        <v>0</v>
      </c>
      <c r="F17" s="168">
        <v>0</v>
      </c>
      <c r="G17" s="165">
        <v>0</v>
      </c>
      <c r="H17" s="201">
        <v>0</v>
      </c>
    </row>
    <row r="18" spans="2:16" s="14" customFormat="1" ht="15.75" x14ac:dyDescent="0.25">
      <c r="B18" s="31" t="s">
        <v>7</v>
      </c>
      <c r="C18" s="2"/>
      <c r="D18" s="2"/>
      <c r="E18" s="35">
        <f>+E16-E17</f>
        <v>33196</v>
      </c>
      <c r="F18" s="187">
        <f>+F16-F17</f>
        <v>58954</v>
      </c>
      <c r="G18" s="273">
        <f>+G16-G17</f>
        <v>6662597.1353000002</v>
      </c>
      <c r="H18" s="228">
        <v>5587126.9939999999</v>
      </c>
    </row>
    <row r="19" spans="2:16" ht="15.75" x14ac:dyDescent="0.25">
      <c r="B19" s="32" t="s">
        <v>8</v>
      </c>
      <c r="C19" s="3"/>
      <c r="D19" s="3"/>
      <c r="E19" s="34">
        <v>7908</v>
      </c>
      <c r="F19" s="201">
        <v>9677</v>
      </c>
      <c r="G19" s="165">
        <f>4145478919.88/1000</f>
        <v>4145478.9198799999</v>
      </c>
      <c r="H19" s="201">
        <v>5288253.8329999996</v>
      </c>
    </row>
    <row r="20" spans="2:16" ht="15.75" x14ac:dyDescent="0.25">
      <c r="B20" s="32" t="s">
        <v>9</v>
      </c>
      <c r="C20" s="3"/>
      <c r="D20" s="3"/>
      <c r="E20" s="34">
        <v>0</v>
      </c>
      <c r="F20" s="168">
        <v>0</v>
      </c>
      <c r="G20" s="165">
        <v>0</v>
      </c>
      <c r="H20" s="201">
        <v>0</v>
      </c>
    </row>
    <row r="21" spans="2:16" ht="15.75" x14ac:dyDescent="0.25">
      <c r="B21" s="32" t="s">
        <v>10</v>
      </c>
      <c r="C21" s="3"/>
      <c r="D21" s="3"/>
      <c r="E21" s="34">
        <v>0</v>
      </c>
      <c r="F21" s="168">
        <v>0</v>
      </c>
      <c r="G21" s="165">
        <v>0</v>
      </c>
      <c r="H21" s="201">
        <v>0</v>
      </c>
    </row>
    <row r="22" spans="2:16" ht="15.75" x14ac:dyDescent="0.25">
      <c r="B22" s="32" t="s">
        <v>64</v>
      </c>
      <c r="C22" s="3"/>
      <c r="D22" s="3"/>
      <c r="E22" s="34">
        <v>0</v>
      </c>
      <c r="F22" s="168">
        <v>0</v>
      </c>
      <c r="G22" s="165">
        <v>0</v>
      </c>
      <c r="H22" s="201">
        <v>0</v>
      </c>
    </row>
    <row r="23" spans="2:16" ht="15.75" x14ac:dyDescent="0.25">
      <c r="B23" s="32" t="s">
        <v>9</v>
      </c>
      <c r="C23" s="3"/>
      <c r="D23" s="3"/>
      <c r="E23" s="34">
        <v>0</v>
      </c>
      <c r="F23" s="168">
        <v>0</v>
      </c>
      <c r="G23" s="165">
        <v>0</v>
      </c>
      <c r="H23" s="201">
        <v>0</v>
      </c>
    </row>
    <row r="24" spans="2:16" ht="15.75" x14ac:dyDescent="0.25">
      <c r="B24" s="32" t="s">
        <v>11</v>
      </c>
      <c r="C24" s="3"/>
      <c r="D24" s="3"/>
      <c r="E24" s="34">
        <v>0</v>
      </c>
      <c r="F24" s="168">
        <v>0</v>
      </c>
      <c r="G24" s="165">
        <v>0</v>
      </c>
      <c r="H24" s="201">
        <v>0</v>
      </c>
      <c r="P24" s="79"/>
    </row>
    <row r="25" spans="2:16" ht="15.75" x14ac:dyDescent="0.25">
      <c r="B25" s="32" t="s">
        <v>234</v>
      </c>
      <c r="C25" s="5"/>
      <c r="D25" s="5"/>
      <c r="E25" s="34">
        <f>1115+8+15178</f>
        <v>16301</v>
      </c>
      <c r="F25" s="168">
        <f>1912</f>
        <v>1912</v>
      </c>
      <c r="G25" s="165">
        <f>16787621117.03/1000</f>
        <v>16787621.117030002</v>
      </c>
      <c r="H25" s="201">
        <v>12529984.351</v>
      </c>
    </row>
    <row r="26" spans="2:16" s="14" customFormat="1" ht="15.75" x14ac:dyDescent="0.25">
      <c r="B26" s="31" t="s">
        <v>12</v>
      </c>
      <c r="C26" s="2"/>
      <c r="D26" s="2"/>
      <c r="E26" s="35">
        <f>+E15+E18+E19+E20+E21+E22+E23+E24+E25</f>
        <v>1065152</v>
      </c>
      <c r="F26" s="187">
        <f>+F15+F18+F19+F20+F21+F22+F23+F24+F25</f>
        <v>1050696</v>
      </c>
      <c r="G26" s="273">
        <f>+G15+G18+G19+G20+G21+G22+G23+G24+G25</f>
        <v>64941163.868410006</v>
      </c>
      <c r="H26" s="228">
        <v>62061739.974000007</v>
      </c>
    </row>
    <row r="27" spans="2:16" ht="15.75" x14ac:dyDescent="0.25">
      <c r="B27" s="32" t="s">
        <v>13</v>
      </c>
      <c r="C27" s="3"/>
      <c r="D27" s="3"/>
      <c r="E27" s="34">
        <f>SUM(E28:E30)</f>
        <v>-26662</v>
      </c>
      <c r="F27" s="168">
        <f>SUM(F28:F30)</f>
        <v>-70729</v>
      </c>
      <c r="G27" s="165">
        <f>SUM(G28:G30)</f>
        <v>54862345.550489999</v>
      </c>
      <c r="H27" s="201">
        <v>52413971.827</v>
      </c>
    </row>
    <row r="28" spans="2:16" ht="15.75" x14ac:dyDescent="0.25">
      <c r="B28" s="32" t="s">
        <v>14</v>
      </c>
      <c r="C28" s="3"/>
      <c r="D28" s="3"/>
      <c r="E28" s="34">
        <v>0</v>
      </c>
      <c r="F28" s="168">
        <v>0</v>
      </c>
      <c r="G28" s="165">
        <v>0</v>
      </c>
      <c r="H28" s="201">
        <v>0</v>
      </c>
    </row>
    <row r="29" spans="2:16" ht="15.75" x14ac:dyDescent="0.25">
      <c r="B29" s="32" t="s">
        <v>15</v>
      </c>
      <c r="C29" s="3"/>
      <c r="D29" s="3"/>
      <c r="E29" s="34">
        <f>-28537+1875</f>
        <v>-26662</v>
      </c>
      <c r="F29" s="168">
        <v>0</v>
      </c>
      <c r="G29" s="165">
        <v>0</v>
      </c>
      <c r="H29" s="201">
        <v>0</v>
      </c>
    </row>
    <row r="30" spans="2:16" ht="15.75" x14ac:dyDescent="0.25">
      <c r="B30" s="32" t="s">
        <v>16</v>
      </c>
      <c r="C30" s="5"/>
      <c r="D30" s="5"/>
      <c r="E30" s="34">
        <v>0</v>
      </c>
      <c r="F30" s="168">
        <f>-4582+11250-77397</f>
        <v>-70729</v>
      </c>
      <c r="G30" s="165">
        <f>54862345550.49/1000</f>
        <v>54862345.550489999</v>
      </c>
      <c r="H30" s="201">
        <v>52413971.827</v>
      </c>
    </row>
    <row r="31" spans="2:16" s="14" customFormat="1" ht="15.75" x14ac:dyDescent="0.25">
      <c r="B31" s="31" t="s">
        <v>17</v>
      </c>
      <c r="C31" s="2"/>
      <c r="D31" s="2"/>
      <c r="E31" s="35">
        <f>+E26-E27</f>
        <v>1091814</v>
      </c>
      <c r="F31" s="187">
        <f>+F26-F27</f>
        <v>1121425</v>
      </c>
      <c r="G31" s="273">
        <f>+G26-G27</f>
        <v>10078818.317920007</v>
      </c>
      <c r="H31" s="228">
        <v>9647768.1470000073</v>
      </c>
    </row>
    <row r="32" spans="2:16" ht="15.75" x14ac:dyDescent="0.25">
      <c r="B32" s="32" t="s">
        <v>18</v>
      </c>
      <c r="C32" s="3"/>
      <c r="D32" s="3"/>
      <c r="E32" s="165">
        <v>67447</v>
      </c>
      <c r="F32" s="201">
        <f>50911+3408</f>
        <v>54319</v>
      </c>
      <c r="G32" s="165">
        <f>(20962276184.18+1533363697.52)/1000</f>
        <v>22495639.881700002</v>
      </c>
      <c r="H32" s="201">
        <v>23571479.526999999</v>
      </c>
    </row>
    <row r="33" spans="2:8" ht="15.75" x14ac:dyDescent="0.25">
      <c r="B33" s="32" t="s">
        <v>19</v>
      </c>
      <c r="C33" s="3"/>
      <c r="D33" s="3"/>
      <c r="E33" s="165">
        <v>5577</v>
      </c>
      <c r="F33" s="201">
        <v>6523</v>
      </c>
      <c r="G33" s="165">
        <f>7339398839.56001/1000</f>
        <v>7339398.8395600095</v>
      </c>
      <c r="H33" s="201">
        <v>7750290.3640000001</v>
      </c>
    </row>
    <row r="34" spans="2:8" ht="15.75" x14ac:dyDescent="0.25">
      <c r="B34" s="32" t="s">
        <v>20</v>
      </c>
      <c r="C34" s="5"/>
      <c r="D34" s="5"/>
      <c r="E34" s="165">
        <f>54504+225+10337</f>
        <v>65066</v>
      </c>
      <c r="F34" s="201">
        <f>76608+6300+13911</f>
        <v>96819</v>
      </c>
      <c r="G34" s="165">
        <f>10106805327.32/1000</f>
        <v>10106805.32732</v>
      </c>
      <c r="H34" s="201">
        <v>4647718.2970000003</v>
      </c>
    </row>
    <row r="35" spans="2:8" s="14" customFormat="1" ht="15.75" x14ac:dyDescent="0.25">
      <c r="B35" s="31" t="s">
        <v>21</v>
      </c>
      <c r="C35" s="2"/>
      <c r="D35" s="2"/>
      <c r="E35" s="35">
        <f>+E31-E32-E33-E34</f>
        <v>953724</v>
      </c>
      <c r="F35" s="187">
        <f>+F31-F32-F33-F34</f>
        <v>963764</v>
      </c>
      <c r="G35" s="273">
        <f>+G31-G32-G33-G34</f>
        <v>-29863025.730660006</v>
      </c>
      <c r="H35" s="228">
        <v>-26321720.040999994</v>
      </c>
    </row>
    <row r="36" spans="2:8" s="14" customFormat="1" ht="15.75" x14ac:dyDescent="0.25">
      <c r="B36" s="31" t="s">
        <v>22</v>
      </c>
      <c r="C36" s="2"/>
      <c r="D36" s="2"/>
      <c r="E36" s="35"/>
      <c r="F36" s="187"/>
      <c r="G36" s="273"/>
      <c r="H36" s="228"/>
    </row>
    <row r="37" spans="2:8" ht="15.75" x14ac:dyDescent="0.25">
      <c r="B37" s="32" t="s">
        <v>25</v>
      </c>
      <c r="C37" s="5"/>
      <c r="D37" s="5"/>
      <c r="E37" s="34">
        <v>150318</v>
      </c>
      <c r="F37" s="168">
        <v>115338</v>
      </c>
      <c r="G37" s="165">
        <v>0</v>
      </c>
      <c r="H37" s="201">
        <v>0</v>
      </c>
    </row>
    <row r="38" spans="2:8" s="14" customFormat="1" ht="15.75" x14ac:dyDescent="0.25">
      <c r="B38" s="31" t="s">
        <v>26</v>
      </c>
      <c r="C38" s="2"/>
      <c r="D38" s="2"/>
      <c r="E38" s="35">
        <f>+E35-E37</f>
        <v>803406</v>
      </c>
      <c r="F38" s="187">
        <f>+F35-F37</f>
        <v>848426</v>
      </c>
      <c r="G38" s="273">
        <f>+G35-G37</f>
        <v>-29863025.730660006</v>
      </c>
      <c r="H38" s="228">
        <v>-26321720.040999994</v>
      </c>
    </row>
    <row r="39" spans="2:8" s="14" customFormat="1" ht="15.75" x14ac:dyDescent="0.25">
      <c r="B39" s="31" t="s">
        <v>22</v>
      </c>
      <c r="C39" s="2"/>
      <c r="D39" s="2"/>
      <c r="E39" s="35"/>
      <c r="F39" s="187"/>
      <c r="G39" s="273"/>
      <c r="H39" s="228"/>
    </row>
    <row r="40" spans="2:8" ht="15.75" x14ac:dyDescent="0.25">
      <c r="B40" s="32" t="s">
        <v>23</v>
      </c>
      <c r="C40" s="3"/>
      <c r="D40" s="3"/>
      <c r="E40" s="34">
        <v>0</v>
      </c>
      <c r="F40" s="168">
        <v>0</v>
      </c>
      <c r="G40" s="274">
        <v>0</v>
      </c>
      <c r="H40" s="261">
        <v>0</v>
      </c>
    </row>
    <row r="41" spans="2:8" ht="15.75" x14ac:dyDescent="0.25">
      <c r="B41" s="32" t="s">
        <v>24</v>
      </c>
      <c r="C41" s="5"/>
      <c r="D41" s="5"/>
      <c r="E41" s="34">
        <v>0</v>
      </c>
      <c r="F41" s="168">
        <v>0</v>
      </c>
      <c r="G41" s="274">
        <v>0</v>
      </c>
      <c r="H41" s="261">
        <v>0</v>
      </c>
    </row>
    <row r="42" spans="2:8" s="14" customFormat="1" ht="15.75" x14ac:dyDescent="0.25">
      <c r="B42" s="31" t="s">
        <v>27</v>
      </c>
      <c r="C42" s="2"/>
      <c r="D42" s="2"/>
      <c r="E42" s="35">
        <f>+E38+E40</f>
        <v>803406</v>
      </c>
      <c r="F42" s="187">
        <f>+F38+F40</f>
        <v>848426</v>
      </c>
      <c r="G42" s="273">
        <f>+G38+G40</f>
        <v>-29863025.730660006</v>
      </c>
      <c r="H42" s="228">
        <v>-26321720.040999994</v>
      </c>
    </row>
    <row r="43" spans="2:8" ht="15.75" x14ac:dyDescent="0.25">
      <c r="B43" s="32" t="s">
        <v>28</v>
      </c>
      <c r="C43" s="5"/>
      <c r="D43" s="5"/>
      <c r="E43" s="34">
        <v>112654</v>
      </c>
      <c r="F43" s="168">
        <v>65196</v>
      </c>
      <c r="G43" s="165">
        <f>-2935408966.75/1000</f>
        <v>-2935408.9667500001</v>
      </c>
      <c r="H43" s="201">
        <v>1379024.659</v>
      </c>
    </row>
    <row r="44" spans="2:8" s="14" customFormat="1" ht="15.75" x14ac:dyDescent="0.25">
      <c r="B44" s="31" t="s">
        <v>29</v>
      </c>
      <c r="C44" s="6"/>
      <c r="D44" s="6"/>
      <c r="E44" s="35">
        <f>+E42-E43</f>
        <v>690752</v>
      </c>
      <c r="F44" s="187">
        <f>+F42-F43</f>
        <v>783230</v>
      </c>
      <c r="G44" s="187">
        <f t="shared" ref="G44" si="0">+G42-G43</f>
        <v>-26927616.763910007</v>
      </c>
      <c r="H44" s="187">
        <f>+H42-H43</f>
        <v>-27700744.699999996</v>
      </c>
    </row>
    <row r="45" spans="2:8" s="14" customFormat="1" ht="15.75" x14ac:dyDescent="0.25">
      <c r="B45" s="31" t="s">
        <v>30</v>
      </c>
      <c r="C45" s="2"/>
      <c r="D45" s="2"/>
      <c r="E45" s="35"/>
      <c r="F45" s="187"/>
      <c r="G45" s="273"/>
      <c r="H45" s="228"/>
    </row>
    <row r="46" spans="2:8" ht="15.75" x14ac:dyDescent="0.25">
      <c r="B46" s="32" t="s">
        <v>236</v>
      </c>
      <c r="C46" s="3"/>
      <c r="D46" s="3"/>
      <c r="E46" s="34">
        <f t="shared" ref="E46:F46" si="1">+E44</f>
        <v>690752</v>
      </c>
      <c r="F46" s="168">
        <f t="shared" si="1"/>
        <v>783230</v>
      </c>
      <c r="G46" s="165">
        <f>+G44</f>
        <v>-26927616.763910007</v>
      </c>
      <c r="H46" s="201">
        <v>-27700744.699999996</v>
      </c>
    </row>
    <row r="47" spans="2:8" ht="15.75" x14ac:dyDescent="0.25">
      <c r="B47" s="32" t="s">
        <v>32</v>
      </c>
      <c r="C47" s="3"/>
      <c r="D47" s="3"/>
      <c r="E47" s="34"/>
      <c r="F47" s="168"/>
      <c r="G47" s="165"/>
      <c r="H47" s="201"/>
    </row>
    <row r="48" spans="2:8" ht="15.75" x14ac:dyDescent="0.25">
      <c r="B48" s="32"/>
      <c r="C48" s="7"/>
      <c r="D48" s="7"/>
      <c r="E48" s="34"/>
      <c r="F48" s="168"/>
      <c r="G48" s="165"/>
      <c r="H48" s="201"/>
    </row>
    <row r="49" spans="2:8" s="14" customFormat="1" ht="15.75" x14ac:dyDescent="0.25">
      <c r="B49" s="31" t="s">
        <v>235</v>
      </c>
      <c r="C49" s="2"/>
      <c r="D49" s="2"/>
      <c r="E49" s="35"/>
      <c r="F49" s="187"/>
      <c r="G49" s="273"/>
      <c r="H49" s="228"/>
    </row>
    <row r="50" spans="2:8" ht="15.75" x14ac:dyDescent="0.25">
      <c r="B50" s="32" t="s">
        <v>33</v>
      </c>
      <c r="C50" s="3"/>
      <c r="D50" s="3"/>
      <c r="E50" s="34"/>
      <c r="F50" s="168"/>
      <c r="G50" s="275"/>
      <c r="H50" s="276"/>
    </row>
    <row r="51" spans="2:8" ht="15.75" x14ac:dyDescent="0.25">
      <c r="B51" s="32" t="s">
        <v>240</v>
      </c>
      <c r="C51" s="5"/>
      <c r="D51" s="5"/>
      <c r="E51" s="34"/>
      <c r="F51" s="168"/>
      <c r="G51" s="275"/>
      <c r="H51" s="276"/>
    </row>
  </sheetData>
  <mergeCells count="6">
    <mergeCell ref="E5:F5"/>
    <mergeCell ref="G5:H5"/>
    <mergeCell ref="B1:H1"/>
    <mergeCell ref="B2:H2"/>
    <mergeCell ref="B4:H4"/>
    <mergeCell ref="B3:H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C19" sqref="C19"/>
    </sheetView>
  </sheetViews>
  <sheetFormatPr defaultRowHeight="15" x14ac:dyDescent="0.25"/>
  <cols>
    <col min="1" max="1" width="6.5703125" customWidth="1"/>
    <col min="2" max="2" width="33.28515625" customWidth="1"/>
    <col min="3" max="3" width="12.140625" style="169" bestFit="1" customWidth="1"/>
    <col min="4" max="4" width="12.140625" bestFit="1" customWidth="1"/>
    <col min="5" max="5" width="10.85546875" hidden="1" customWidth="1"/>
    <col min="6" max="6" width="11.28515625" hidden="1" customWidth="1"/>
    <col min="7" max="7" width="11.5703125" bestFit="1" customWidth="1"/>
  </cols>
  <sheetData>
    <row r="1" spans="1:7" x14ac:dyDescent="0.25">
      <c r="A1" s="214" t="s">
        <v>220</v>
      </c>
      <c r="B1" s="214"/>
      <c r="C1" s="214"/>
      <c r="D1" s="214"/>
      <c r="E1" s="214"/>
      <c r="F1" s="214"/>
    </row>
    <row r="2" spans="1:7" ht="15.75" thickBot="1" x14ac:dyDescent="0.3"/>
    <row r="3" spans="1:7" x14ac:dyDescent="0.25">
      <c r="A3" s="48"/>
      <c r="B3" s="45"/>
      <c r="C3" s="350" t="s">
        <v>34</v>
      </c>
      <c r="D3" s="351"/>
      <c r="E3" s="350" t="s">
        <v>45</v>
      </c>
      <c r="F3" s="352"/>
    </row>
    <row r="4" spans="1:7" x14ac:dyDescent="0.25">
      <c r="A4" s="52" t="s">
        <v>1</v>
      </c>
      <c r="B4" s="50"/>
      <c r="C4" s="208" t="s">
        <v>35</v>
      </c>
      <c r="D4" s="98" t="s">
        <v>38</v>
      </c>
      <c r="E4" s="98" t="s">
        <v>35</v>
      </c>
      <c r="F4" s="103" t="s">
        <v>38</v>
      </c>
    </row>
    <row r="5" spans="1:7" x14ac:dyDescent="0.25">
      <c r="A5" s="52"/>
      <c r="B5" s="50"/>
      <c r="C5" s="209" t="s">
        <v>190</v>
      </c>
      <c r="D5" s="99" t="s">
        <v>192</v>
      </c>
      <c r="E5" s="99" t="s">
        <v>190</v>
      </c>
      <c r="F5" s="104" t="s">
        <v>192</v>
      </c>
    </row>
    <row r="6" spans="1:7" x14ac:dyDescent="0.25">
      <c r="A6" s="52"/>
      <c r="B6" s="50"/>
      <c r="C6" s="209" t="s">
        <v>189</v>
      </c>
      <c r="D6" s="99" t="s">
        <v>191</v>
      </c>
      <c r="E6" s="99" t="s">
        <v>189</v>
      </c>
      <c r="F6" s="104" t="s">
        <v>191</v>
      </c>
    </row>
    <row r="7" spans="1:7" x14ac:dyDescent="0.25">
      <c r="A7" s="54"/>
      <c r="B7" s="47"/>
      <c r="C7" s="210" t="str">
        <f>+Impairment!C8</f>
        <v>31/12/2017</v>
      </c>
      <c r="D7" s="210" t="str">
        <f>+Impairment!D8</f>
        <v>31/03/2017</v>
      </c>
      <c r="E7" s="100" t="s">
        <v>188</v>
      </c>
      <c r="F7" s="105" t="s">
        <v>188</v>
      </c>
    </row>
    <row r="8" spans="1:7" x14ac:dyDescent="0.25">
      <c r="A8" s="359" t="s">
        <v>203</v>
      </c>
      <c r="B8" s="359"/>
      <c r="C8" s="211"/>
      <c r="D8" s="211"/>
      <c r="E8" s="39"/>
      <c r="F8" s="39"/>
    </row>
    <row r="9" spans="1:7" x14ac:dyDescent="0.25">
      <c r="A9" s="348" t="s">
        <v>221</v>
      </c>
      <c r="B9" s="348"/>
      <c r="C9" s="227">
        <v>177274</v>
      </c>
      <c r="D9" s="227">
        <f>(145874709.84+20340907.03)/1000</f>
        <v>166215.61687</v>
      </c>
      <c r="E9" s="39"/>
      <c r="F9" s="39"/>
    </row>
    <row r="10" spans="1:7" x14ac:dyDescent="0.25">
      <c r="A10" s="348" t="s">
        <v>222</v>
      </c>
      <c r="B10" s="348"/>
      <c r="C10" s="227">
        <v>75120</v>
      </c>
      <c r="D10" s="227">
        <f>64416256.27/1000</f>
        <v>64416.256270000005</v>
      </c>
      <c r="E10" s="39"/>
      <c r="F10" s="39"/>
    </row>
    <row r="11" spans="1:7" x14ac:dyDescent="0.25">
      <c r="A11" s="348" t="s">
        <v>223</v>
      </c>
      <c r="B11" s="348"/>
      <c r="C11" s="227">
        <v>552609</v>
      </c>
      <c r="D11" s="227">
        <f>580597105.69/1000</f>
        <v>580597.10569000011</v>
      </c>
      <c r="E11" s="39"/>
      <c r="F11" s="39"/>
    </row>
    <row r="12" spans="1:7" x14ac:dyDescent="0.25">
      <c r="A12" s="348" t="s">
        <v>324</v>
      </c>
      <c r="B12" s="348"/>
      <c r="C12" s="97">
        <f>868672-C9-C10-C11</f>
        <v>63669</v>
      </c>
      <c r="D12" s="97">
        <f>11022497.56/1000</f>
        <v>11022.49756</v>
      </c>
      <c r="E12" s="39"/>
      <c r="F12" s="39"/>
    </row>
    <row r="13" spans="1:7" x14ac:dyDescent="0.25">
      <c r="A13" s="359" t="s">
        <v>209</v>
      </c>
      <c r="B13" s="359"/>
      <c r="C13" s="164">
        <f>SUM(C9:C12)</f>
        <v>868672</v>
      </c>
      <c r="D13" s="164">
        <f>SUM(D9:D12)</f>
        <v>822251.4763900002</v>
      </c>
      <c r="E13" s="39"/>
      <c r="F13" s="39"/>
    </row>
    <row r="14" spans="1:7" x14ac:dyDescent="0.25">
      <c r="A14" s="359" t="s">
        <v>210</v>
      </c>
      <c r="B14" s="359"/>
      <c r="C14" s="97"/>
      <c r="D14" s="97"/>
      <c r="E14" s="39"/>
      <c r="F14" s="39"/>
    </row>
    <row r="15" spans="1:7" x14ac:dyDescent="0.25">
      <c r="A15" s="348" t="s">
        <v>221</v>
      </c>
      <c r="B15" s="348"/>
      <c r="C15" s="97">
        <v>9322</v>
      </c>
      <c r="D15" s="97">
        <f>(211470780+35905458)/1000-D9-D18-D12</f>
        <v>67861.873570000011</v>
      </c>
      <c r="E15" s="39"/>
      <c r="F15" s="39"/>
      <c r="G15" s="169"/>
    </row>
    <row r="16" spans="1:7" x14ac:dyDescent="0.25">
      <c r="A16" s="348" t="s">
        <v>222</v>
      </c>
      <c r="B16" s="348"/>
      <c r="C16" s="97">
        <v>110314</v>
      </c>
      <c r="D16" s="97">
        <f>331778009/1000-D10</f>
        <v>267361.75273000001</v>
      </c>
      <c r="E16" s="39"/>
      <c r="F16" s="39"/>
      <c r="G16" s="169"/>
    </row>
    <row r="17" spans="1:8" x14ac:dyDescent="0.25">
      <c r="A17" s="348" t="s">
        <v>223</v>
      </c>
      <c r="B17" s="348"/>
      <c r="C17" s="97">
        <v>1838492</v>
      </c>
      <c r="D17" s="97">
        <f>2133811288/1000-D11</f>
        <v>1553214.1823100001</v>
      </c>
      <c r="E17" s="39"/>
      <c r="F17" s="39"/>
      <c r="G17" s="169"/>
    </row>
    <row r="18" spans="1:8" x14ac:dyDescent="0.25">
      <c r="A18" s="348" t="s">
        <v>324</v>
      </c>
      <c r="B18" s="348"/>
      <c r="C18" s="227">
        <f>1978048-C15-C16-C17</f>
        <v>19920</v>
      </c>
      <c r="D18" s="227">
        <f>2276250/1000</f>
        <v>2276.25</v>
      </c>
      <c r="E18" s="39"/>
      <c r="F18" s="39"/>
      <c r="G18" s="169"/>
    </row>
    <row r="19" spans="1:8" x14ac:dyDescent="0.25">
      <c r="A19" s="359" t="s">
        <v>209</v>
      </c>
      <c r="B19" s="359"/>
      <c r="C19" s="164">
        <f>SUM(C15:C18)</f>
        <v>1978048</v>
      </c>
      <c r="D19" s="164">
        <f>SUM(D15:D18)</f>
        <v>1890714.0586100002</v>
      </c>
      <c r="E19" s="39"/>
      <c r="F19" s="39"/>
      <c r="G19" s="28"/>
    </row>
    <row r="20" spans="1:8" x14ac:dyDescent="0.25">
      <c r="A20" s="359" t="s">
        <v>130</v>
      </c>
      <c r="B20" s="359"/>
      <c r="C20" s="164">
        <f>+C13+C19</f>
        <v>2846720</v>
      </c>
      <c r="D20" s="164">
        <f>+'FINANCIAL POSITION'!G38</f>
        <v>2712965.5359999998</v>
      </c>
      <c r="E20" s="39"/>
      <c r="F20" s="39"/>
    </row>
    <row r="21" spans="1:8" x14ac:dyDescent="0.25">
      <c r="A21" s="21"/>
      <c r="B21" s="28"/>
      <c r="C21" s="212">
        <f>+'FINANCIAL POSITION'!F38</f>
        <v>2846720</v>
      </c>
      <c r="D21" s="21"/>
      <c r="E21" s="21"/>
      <c r="F21" s="21"/>
    </row>
    <row r="22" spans="1:8" x14ac:dyDescent="0.25">
      <c r="C22" s="169">
        <f>+C20-C21</f>
        <v>0</v>
      </c>
    </row>
    <row r="23" spans="1:8" x14ac:dyDescent="0.25">
      <c r="C23" s="25"/>
      <c r="D23" s="25"/>
      <c r="F23" s="28"/>
      <c r="H23" s="28"/>
    </row>
    <row r="24" spans="1:8" x14ac:dyDescent="0.25">
      <c r="C24" s="25"/>
      <c r="D24" s="25"/>
      <c r="F24" s="28"/>
      <c r="H24" s="28"/>
    </row>
    <row r="25" spans="1:8" x14ac:dyDescent="0.25">
      <c r="C25" s="25"/>
      <c r="D25" s="25"/>
      <c r="F25" s="28"/>
      <c r="H25" s="28"/>
    </row>
    <row r="26" spans="1:8" x14ac:dyDescent="0.25">
      <c r="B26" s="21"/>
      <c r="C26" s="26"/>
      <c r="D26" s="26"/>
      <c r="F26" s="28"/>
      <c r="H26" s="28"/>
    </row>
    <row r="27" spans="1:8" x14ac:dyDescent="0.25">
      <c r="B27" s="21"/>
      <c r="C27" s="212"/>
      <c r="D27" s="29"/>
      <c r="E27" s="28"/>
      <c r="F27" s="28"/>
      <c r="G27" s="28"/>
      <c r="H27" s="28"/>
    </row>
    <row r="28" spans="1:8" x14ac:dyDescent="0.25">
      <c r="E28" s="28"/>
    </row>
  </sheetData>
  <mergeCells count="15">
    <mergeCell ref="A19:B19"/>
    <mergeCell ref="A20:B20"/>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selection activeCell="F37" sqref="F37"/>
    </sheetView>
  </sheetViews>
  <sheetFormatPr defaultRowHeight="15" x14ac:dyDescent="0.25"/>
  <cols>
    <col min="1" max="1" width="48.85546875" style="1" customWidth="1"/>
    <col min="2" max="5" width="0" style="1" hidden="1" customWidth="1"/>
    <col min="6" max="6" width="13.85546875" style="13" customWidth="1"/>
    <col min="7" max="7" width="15.42578125" style="13" customWidth="1"/>
    <col min="8" max="8" width="15.28515625" style="13" customWidth="1"/>
    <col min="9" max="9" width="14.140625" style="13" customWidth="1"/>
    <col min="10" max="16384" width="9.140625" style="1"/>
  </cols>
  <sheetData>
    <row r="1" spans="1:9" ht="15.75" x14ac:dyDescent="0.25">
      <c r="A1" s="285" t="s">
        <v>39</v>
      </c>
      <c r="B1" s="286"/>
      <c r="C1" s="286"/>
      <c r="D1" s="286"/>
      <c r="E1" s="286"/>
      <c r="F1" s="286"/>
      <c r="G1" s="286"/>
      <c r="H1" s="286"/>
      <c r="I1" s="287"/>
    </row>
    <row r="2" spans="1:9" ht="15.75" x14ac:dyDescent="0.25">
      <c r="A2" s="288" t="s">
        <v>40</v>
      </c>
      <c r="B2" s="289"/>
      <c r="C2" s="289"/>
      <c r="D2" s="289"/>
      <c r="E2" s="289"/>
      <c r="F2" s="289"/>
      <c r="G2" s="289"/>
      <c r="H2" s="289"/>
      <c r="I2" s="290"/>
    </row>
    <row r="3" spans="1:9" ht="15.75" x14ac:dyDescent="0.25">
      <c r="A3" s="288" t="s">
        <v>336</v>
      </c>
      <c r="B3" s="289"/>
      <c r="C3" s="289"/>
      <c r="D3" s="289"/>
      <c r="E3" s="289"/>
      <c r="F3" s="289"/>
      <c r="G3" s="289"/>
      <c r="H3" s="289"/>
      <c r="I3" s="290"/>
    </row>
    <row r="4" spans="1:9" ht="15.75" x14ac:dyDescent="0.25">
      <c r="A4" s="66"/>
      <c r="B4" s="38"/>
      <c r="C4" s="38"/>
      <c r="D4" s="38"/>
      <c r="E4" s="38"/>
      <c r="F4" s="63"/>
      <c r="G4" s="63"/>
      <c r="H4" s="63"/>
      <c r="I4" s="111"/>
    </row>
    <row r="5" spans="1:9" ht="15.75" x14ac:dyDescent="0.25">
      <c r="A5" s="60"/>
      <c r="B5" s="3"/>
      <c r="C5" s="3"/>
      <c r="D5" s="3"/>
      <c r="E5" s="3"/>
      <c r="F5" s="294" t="s">
        <v>34</v>
      </c>
      <c r="G5" s="295"/>
      <c r="H5" s="296" t="s">
        <v>45</v>
      </c>
      <c r="I5" s="297"/>
    </row>
    <row r="6" spans="1:9" ht="31.5" x14ac:dyDescent="0.25">
      <c r="A6" s="61" t="s">
        <v>1</v>
      </c>
      <c r="B6" s="3"/>
      <c r="C6" s="3"/>
      <c r="D6" s="3"/>
      <c r="E6" s="3"/>
      <c r="F6" s="128" t="s">
        <v>239</v>
      </c>
      <c r="G6" s="229" t="s">
        <v>317</v>
      </c>
      <c r="H6" s="266" t="s">
        <v>239</v>
      </c>
      <c r="I6" s="267" t="s">
        <v>317</v>
      </c>
    </row>
    <row r="7" spans="1:9" ht="15.75" x14ac:dyDescent="0.25">
      <c r="A7" s="61"/>
      <c r="B7" s="3"/>
      <c r="C7" s="3"/>
      <c r="D7" s="3"/>
      <c r="E7" s="3"/>
      <c r="F7" s="129" t="s">
        <v>36</v>
      </c>
      <c r="G7" s="230" t="s">
        <v>36</v>
      </c>
      <c r="H7" s="268" t="s">
        <v>36</v>
      </c>
      <c r="I7" s="269" t="s">
        <v>36</v>
      </c>
    </row>
    <row r="8" spans="1:9" ht="15.75" x14ac:dyDescent="0.25">
      <c r="A8" s="59"/>
      <c r="B8" s="3"/>
      <c r="C8" s="3"/>
      <c r="D8" s="3"/>
      <c r="E8" s="3"/>
      <c r="F8" s="129" t="s">
        <v>327</v>
      </c>
      <c r="G8" s="230" t="s">
        <v>316</v>
      </c>
      <c r="H8" s="268" t="s">
        <v>327</v>
      </c>
      <c r="I8" s="269" t="str">
        <f>+G8</f>
        <v>01.04.2016</v>
      </c>
    </row>
    <row r="9" spans="1:9" ht="15.75" x14ac:dyDescent="0.25">
      <c r="A9" s="59"/>
      <c r="B9" s="3"/>
      <c r="C9" s="3"/>
      <c r="D9" s="3"/>
      <c r="E9" s="3"/>
      <c r="F9" s="129" t="s">
        <v>37</v>
      </c>
      <c r="G9" s="230" t="s">
        <v>37</v>
      </c>
      <c r="H9" s="268" t="s">
        <v>37</v>
      </c>
      <c r="I9" s="269" t="s">
        <v>37</v>
      </c>
    </row>
    <row r="10" spans="1:9" ht="15.75" x14ac:dyDescent="0.25">
      <c r="A10" s="59"/>
      <c r="B10" s="3"/>
      <c r="C10" s="3"/>
      <c r="D10" s="3"/>
      <c r="E10" s="3"/>
      <c r="F10" s="81" t="str">
        <f>+'INCOME-I'!E10</f>
        <v>31.12.2017</v>
      </c>
      <c r="G10" s="81" t="str">
        <f>+'INCOME-I'!F10</f>
        <v>31.12.2016</v>
      </c>
      <c r="H10" s="243" t="str">
        <f>+'INCOME-I'!G10</f>
        <v>31.12.2017</v>
      </c>
      <c r="I10" s="243" t="str">
        <f>+'INCOME-I'!H10</f>
        <v>31.12.2016</v>
      </c>
    </row>
    <row r="11" spans="1:9" ht="15.75" x14ac:dyDescent="0.25">
      <c r="A11" s="62"/>
      <c r="B11" s="5"/>
      <c r="C11" s="5"/>
      <c r="D11" s="5"/>
      <c r="E11" s="5"/>
      <c r="F11" s="130" t="s">
        <v>181</v>
      </c>
      <c r="G11" s="231" t="s">
        <v>181</v>
      </c>
      <c r="H11" s="270" t="s">
        <v>182</v>
      </c>
      <c r="I11" s="270" t="s">
        <v>182</v>
      </c>
    </row>
    <row r="12" spans="1:9" s="14" customFormat="1" ht="15.75" x14ac:dyDescent="0.25">
      <c r="A12" s="31" t="s">
        <v>41</v>
      </c>
      <c r="B12" s="2"/>
      <c r="C12" s="2"/>
      <c r="D12" s="2"/>
      <c r="E12" s="2"/>
      <c r="F12" s="35">
        <f>+'INCOME-I'!E44</f>
        <v>690752</v>
      </c>
      <c r="G12" s="35">
        <f>+'INCOME-I'!F44</f>
        <v>783230</v>
      </c>
      <c r="H12" s="273">
        <f>+'INCOME-I'!G44</f>
        <v>-26927616.763910007</v>
      </c>
      <c r="I12" s="273">
        <f>+'INCOME-I'!H44</f>
        <v>-27700744.699999996</v>
      </c>
    </row>
    <row r="13" spans="1:9" ht="15.75" x14ac:dyDescent="0.25">
      <c r="A13" s="32"/>
      <c r="B13" s="3"/>
      <c r="C13" s="3"/>
      <c r="D13" s="3"/>
      <c r="E13" s="3"/>
      <c r="F13" s="34"/>
      <c r="G13" s="34"/>
      <c r="H13" s="165"/>
      <c r="I13" s="165"/>
    </row>
    <row r="14" spans="1:9" s="14" customFormat="1" ht="15.75" x14ac:dyDescent="0.25">
      <c r="A14" s="31" t="s">
        <v>42</v>
      </c>
      <c r="B14" s="2"/>
      <c r="C14" s="2"/>
      <c r="D14" s="2"/>
      <c r="E14" s="2"/>
      <c r="F14" s="35"/>
      <c r="G14" s="35"/>
      <c r="H14" s="273"/>
      <c r="I14" s="273"/>
    </row>
    <row r="15" spans="1:9" ht="15.75" x14ac:dyDescent="0.25">
      <c r="A15" s="32" t="s">
        <v>43</v>
      </c>
      <c r="B15" s="3"/>
      <c r="C15" s="3"/>
      <c r="D15" s="3"/>
      <c r="E15" s="3"/>
      <c r="F15" s="34"/>
      <c r="G15" s="34"/>
      <c r="H15" s="165"/>
      <c r="I15" s="165"/>
    </row>
    <row r="16" spans="1:9" ht="15.75" x14ac:dyDescent="0.25">
      <c r="A16" s="32" t="s">
        <v>186</v>
      </c>
      <c r="B16" s="3"/>
      <c r="C16" s="3"/>
      <c r="D16" s="3"/>
      <c r="E16" s="3"/>
      <c r="F16" s="34">
        <v>0</v>
      </c>
      <c r="G16" s="34">
        <v>0</v>
      </c>
      <c r="H16" s="165">
        <v>0</v>
      </c>
      <c r="I16" s="165">
        <v>0</v>
      </c>
    </row>
    <row r="17" spans="1:9" ht="15.75" x14ac:dyDescent="0.25">
      <c r="A17" s="32" t="s">
        <v>44</v>
      </c>
      <c r="B17" s="3"/>
      <c r="C17" s="3"/>
      <c r="D17" s="3"/>
      <c r="E17" s="3"/>
      <c r="F17" s="34"/>
      <c r="G17" s="34"/>
      <c r="H17" s="165"/>
      <c r="I17" s="165"/>
    </row>
    <row r="18" spans="1:9" ht="15.75" x14ac:dyDescent="0.25">
      <c r="A18" s="32" t="s">
        <v>187</v>
      </c>
      <c r="B18" s="3"/>
      <c r="C18" s="3"/>
      <c r="D18" s="3"/>
      <c r="E18" s="3"/>
      <c r="F18" s="34"/>
      <c r="G18" s="34"/>
      <c r="H18" s="165"/>
      <c r="I18" s="165"/>
    </row>
    <row r="19" spans="1:9" ht="15.75" x14ac:dyDescent="0.25">
      <c r="A19" s="32" t="s">
        <v>46</v>
      </c>
      <c r="B19" s="3"/>
      <c r="C19" s="3"/>
      <c r="D19" s="3"/>
      <c r="E19" s="3"/>
      <c r="F19" s="34"/>
      <c r="G19" s="34"/>
      <c r="H19" s="165"/>
      <c r="I19" s="165"/>
    </row>
    <row r="20" spans="1:9" ht="15.75" x14ac:dyDescent="0.25">
      <c r="A20" s="32" t="s">
        <v>47</v>
      </c>
      <c r="B20" s="3"/>
      <c r="C20" s="3"/>
      <c r="D20" s="3"/>
      <c r="E20" s="3"/>
      <c r="F20" s="34"/>
      <c r="G20" s="34"/>
      <c r="H20" s="165"/>
      <c r="I20" s="165"/>
    </row>
    <row r="21" spans="1:9" ht="15.75" x14ac:dyDescent="0.25">
      <c r="A21" s="32" t="s">
        <v>48</v>
      </c>
      <c r="B21" s="3"/>
      <c r="C21" s="3"/>
      <c r="D21" s="3"/>
      <c r="E21" s="3"/>
      <c r="F21" s="34"/>
      <c r="G21" s="34"/>
      <c r="H21" s="165"/>
      <c r="I21" s="165"/>
    </row>
    <row r="22" spans="1:9" ht="15.75" x14ac:dyDescent="0.25">
      <c r="A22" s="32" t="s">
        <v>231</v>
      </c>
      <c r="B22" s="5"/>
      <c r="C22" s="5"/>
      <c r="D22" s="5"/>
      <c r="E22" s="5"/>
      <c r="F22" s="34">
        <v>14505</v>
      </c>
      <c r="G22" s="34">
        <v>7787.0698002000618</v>
      </c>
      <c r="H22" s="165"/>
      <c r="I22" s="165"/>
    </row>
    <row r="23" spans="1:9" ht="15.75" x14ac:dyDescent="0.25">
      <c r="A23" s="32" t="s">
        <v>59</v>
      </c>
      <c r="B23" s="3"/>
      <c r="C23" s="3"/>
      <c r="D23" s="3"/>
      <c r="E23" s="3"/>
      <c r="F23" s="34"/>
      <c r="G23" s="34"/>
      <c r="H23" s="165"/>
      <c r="I23" s="165"/>
    </row>
    <row r="24" spans="1:9" ht="15.75" x14ac:dyDescent="0.25">
      <c r="A24" s="32" t="s">
        <v>49</v>
      </c>
      <c r="B24" s="3"/>
      <c r="C24" s="3"/>
      <c r="D24" s="3"/>
      <c r="E24" s="3"/>
      <c r="F24" s="34"/>
      <c r="G24" s="34"/>
      <c r="H24" s="165"/>
      <c r="I24" s="165"/>
    </row>
    <row r="25" spans="1:9" ht="15.75" x14ac:dyDescent="0.25">
      <c r="A25" s="32" t="s">
        <v>60</v>
      </c>
      <c r="B25" s="5"/>
      <c r="C25" s="5"/>
      <c r="D25" s="5"/>
      <c r="E25" s="5"/>
      <c r="F25" s="34"/>
      <c r="G25" s="34"/>
      <c r="H25" s="165"/>
      <c r="I25" s="165"/>
    </row>
    <row r="26" spans="1:9" s="14" customFormat="1" ht="15.75" x14ac:dyDescent="0.25">
      <c r="A26" s="31" t="s">
        <v>50</v>
      </c>
      <c r="B26" s="2"/>
      <c r="C26" s="2"/>
      <c r="D26" s="2"/>
      <c r="E26" s="2"/>
      <c r="F26" s="35">
        <f>SUM(F15:F25)</f>
        <v>14505</v>
      </c>
      <c r="G26" s="35">
        <f>SUM(G15:G25)</f>
        <v>7787.0698002000618</v>
      </c>
      <c r="H26" s="273">
        <f>+H16</f>
        <v>0</v>
      </c>
      <c r="I26" s="273">
        <f>+I16</f>
        <v>0</v>
      </c>
    </row>
    <row r="27" spans="1:9" s="14" customFormat="1" ht="15.75" x14ac:dyDescent="0.25">
      <c r="A27" s="31" t="s">
        <v>61</v>
      </c>
      <c r="B27" s="4"/>
      <c r="C27" s="4"/>
      <c r="D27" s="4"/>
      <c r="E27" s="4"/>
      <c r="F27" s="35"/>
      <c r="G27" s="35"/>
      <c r="H27" s="273"/>
      <c r="I27" s="273"/>
    </row>
    <row r="28" spans="1:9" ht="15.75" x14ac:dyDescent="0.25">
      <c r="A28" s="31" t="s">
        <v>62</v>
      </c>
      <c r="B28" s="8"/>
      <c r="C28" s="8"/>
      <c r="D28" s="8"/>
      <c r="E28" s="8"/>
      <c r="F28" s="35">
        <f>+F26+F12</f>
        <v>705257</v>
      </c>
      <c r="G28" s="35">
        <f>+G26+G12</f>
        <v>791017.06980020006</v>
      </c>
      <c r="H28" s="273">
        <f>+H26+H12</f>
        <v>-26927616.763910007</v>
      </c>
      <c r="I28" s="273">
        <f>+I26+I12</f>
        <v>-27700744.699999996</v>
      </c>
    </row>
    <row r="29" spans="1:9" ht="15.75" x14ac:dyDescent="0.25">
      <c r="A29" s="31" t="s">
        <v>51</v>
      </c>
      <c r="B29" s="3"/>
      <c r="C29" s="3"/>
      <c r="D29" s="3"/>
      <c r="E29" s="3"/>
      <c r="F29" s="34"/>
      <c r="G29" s="34"/>
      <c r="H29" s="165"/>
      <c r="I29" s="165"/>
    </row>
    <row r="30" spans="1:9" ht="15.75" x14ac:dyDescent="0.25">
      <c r="A30" s="32" t="s">
        <v>31</v>
      </c>
      <c r="B30" s="3"/>
      <c r="C30" s="3"/>
      <c r="D30" s="3"/>
      <c r="E30" s="3"/>
      <c r="F30" s="34">
        <f t="shared" ref="F30:G30" si="0">+F28</f>
        <v>705257</v>
      </c>
      <c r="G30" s="34">
        <f t="shared" si="0"/>
        <v>791017.06980020006</v>
      </c>
      <c r="H30" s="165">
        <f>+H28</f>
        <v>-26927616.763910007</v>
      </c>
      <c r="I30" s="165">
        <f>+I28</f>
        <v>-27700744.699999996</v>
      </c>
    </row>
    <row r="31" spans="1:9" ht="15.75" x14ac:dyDescent="0.25">
      <c r="A31" s="32" t="s">
        <v>52</v>
      </c>
      <c r="B31" s="3"/>
      <c r="C31" s="3"/>
      <c r="D31" s="3"/>
      <c r="E31" s="3"/>
      <c r="F31" s="34"/>
      <c r="G31" s="34"/>
      <c r="H31" s="165">
        <v>0</v>
      </c>
      <c r="I31" s="165">
        <v>0</v>
      </c>
    </row>
  </sheetData>
  <mergeCells count="5">
    <mergeCell ref="F5:G5"/>
    <mergeCell ref="H5:I5"/>
    <mergeCell ref="A1:I1"/>
    <mergeCell ref="A2:I2"/>
    <mergeCell ref="A3:I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5"/>
  <sheetViews>
    <sheetView zoomScaleNormal="100" workbookViewId="0">
      <selection activeCell="H9" sqref="H9"/>
    </sheetView>
  </sheetViews>
  <sheetFormatPr defaultRowHeight="15" x14ac:dyDescent="0.25"/>
  <cols>
    <col min="1" max="1" width="46.140625" style="1" customWidth="1"/>
    <col min="2" max="5" width="0" style="1" hidden="1" customWidth="1"/>
    <col min="6" max="6" width="15.5703125" style="18" bestFit="1" customWidth="1"/>
    <col min="7" max="7" width="16.5703125" style="18" bestFit="1" customWidth="1"/>
    <col min="8" max="8" width="15.7109375" style="281" customWidth="1"/>
    <col min="9" max="9" width="16.5703125" style="18" customWidth="1"/>
    <col min="10" max="10" width="14.28515625" style="16" bestFit="1" customWidth="1"/>
    <col min="11" max="11" width="9.5703125" style="1" bestFit="1" customWidth="1"/>
    <col min="12" max="12" width="13.7109375" style="1" bestFit="1" customWidth="1"/>
    <col min="13" max="16384" width="9.140625" style="1"/>
  </cols>
  <sheetData>
    <row r="1" spans="1:9" ht="15.75" x14ac:dyDescent="0.25">
      <c r="A1" s="285" t="s">
        <v>39</v>
      </c>
      <c r="B1" s="286"/>
      <c r="C1" s="286"/>
      <c r="D1" s="286"/>
      <c r="E1" s="286"/>
      <c r="F1" s="286"/>
      <c r="G1" s="286"/>
      <c r="H1" s="286"/>
      <c r="I1" s="287"/>
    </row>
    <row r="2" spans="1:9" ht="15.75" x14ac:dyDescent="0.25">
      <c r="A2" s="288" t="s">
        <v>226</v>
      </c>
      <c r="B2" s="289"/>
      <c r="C2" s="289"/>
      <c r="D2" s="289"/>
      <c r="E2" s="289"/>
      <c r="F2" s="289"/>
      <c r="G2" s="289"/>
      <c r="H2" s="289"/>
      <c r="I2" s="290"/>
    </row>
    <row r="3" spans="1:9" ht="15.75" x14ac:dyDescent="0.25">
      <c r="A3" s="288" t="s">
        <v>339</v>
      </c>
      <c r="B3" s="289"/>
      <c r="C3" s="289"/>
      <c r="D3" s="289"/>
      <c r="E3" s="289"/>
      <c r="F3" s="289"/>
      <c r="G3" s="289"/>
      <c r="H3" s="289"/>
      <c r="I3" s="290"/>
    </row>
    <row r="4" spans="1:9" ht="15.75" x14ac:dyDescent="0.25">
      <c r="A4" s="291"/>
      <c r="B4" s="292"/>
      <c r="C4" s="292"/>
      <c r="D4" s="292"/>
      <c r="E4" s="292"/>
      <c r="F4" s="292"/>
      <c r="G4" s="292"/>
      <c r="H4" s="292"/>
      <c r="I4" s="293"/>
    </row>
    <row r="5" spans="1:9" ht="15.75" x14ac:dyDescent="0.25">
      <c r="A5" s="60"/>
      <c r="B5" s="3"/>
      <c r="C5" s="3"/>
      <c r="D5" s="3"/>
      <c r="E5" s="3"/>
      <c r="F5" s="302" t="s">
        <v>34</v>
      </c>
      <c r="G5" s="303"/>
      <c r="H5" s="304" t="s">
        <v>45</v>
      </c>
      <c r="I5" s="305"/>
    </row>
    <row r="6" spans="1:9" ht="15.75" x14ac:dyDescent="0.25">
      <c r="A6" s="61" t="s">
        <v>1</v>
      </c>
      <c r="B6" s="3"/>
      <c r="C6" s="3"/>
      <c r="D6" s="3"/>
      <c r="E6" s="3"/>
      <c r="F6" s="300" t="s">
        <v>238</v>
      </c>
      <c r="G6" s="300" t="s">
        <v>237</v>
      </c>
      <c r="H6" s="298" t="s">
        <v>238</v>
      </c>
      <c r="I6" s="298" t="s">
        <v>237</v>
      </c>
    </row>
    <row r="7" spans="1:9" ht="15.75" x14ac:dyDescent="0.25">
      <c r="A7" s="61"/>
      <c r="B7" s="3"/>
      <c r="C7" s="3"/>
      <c r="D7" s="3"/>
      <c r="E7" s="3"/>
      <c r="F7" s="301"/>
      <c r="G7" s="301"/>
      <c r="H7" s="299"/>
      <c r="I7" s="299"/>
    </row>
    <row r="8" spans="1:9" ht="15.75" x14ac:dyDescent="0.25">
      <c r="A8" s="61"/>
      <c r="B8" s="64"/>
      <c r="C8" s="32"/>
      <c r="D8" s="32"/>
      <c r="E8" s="32"/>
      <c r="F8" s="131" t="s">
        <v>180</v>
      </c>
      <c r="G8" s="131" t="s">
        <v>180</v>
      </c>
      <c r="H8" s="277" t="s">
        <v>180</v>
      </c>
      <c r="I8" s="277" t="s">
        <v>180</v>
      </c>
    </row>
    <row r="9" spans="1:9" ht="15.75" x14ac:dyDescent="0.25">
      <c r="A9" s="59"/>
      <c r="B9" s="64"/>
      <c r="C9" s="32"/>
      <c r="D9" s="32"/>
      <c r="E9" s="32"/>
      <c r="F9" s="131" t="s">
        <v>337</v>
      </c>
      <c r="G9" s="131" t="s">
        <v>318</v>
      </c>
      <c r="H9" s="131" t="s">
        <v>337</v>
      </c>
      <c r="I9" s="277" t="str">
        <f>+G9</f>
        <v>31.03.2017</v>
      </c>
    </row>
    <row r="10" spans="1:9" ht="15.75" x14ac:dyDescent="0.25">
      <c r="A10" s="62"/>
      <c r="B10" s="64"/>
      <c r="C10" s="32"/>
      <c r="D10" s="32"/>
      <c r="E10" s="32"/>
      <c r="F10" s="132" t="s">
        <v>181</v>
      </c>
      <c r="G10" s="132" t="s">
        <v>181</v>
      </c>
      <c r="H10" s="271" t="s">
        <v>182</v>
      </c>
      <c r="I10" s="271" t="s">
        <v>182</v>
      </c>
    </row>
    <row r="11" spans="1:9" ht="15.75" x14ac:dyDescent="0.25">
      <c r="A11" s="62"/>
      <c r="B11" s="64"/>
      <c r="C11" s="32"/>
      <c r="D11" s="32"/>
      <c r="E11" s="32"/>
      <c r="F11" s="132"/>
      <c r="G11" s="132" t="s">
        <v>252</v>
      </c>
      <c r="H11" s="271"/>
      <c r="I11" s="271" t="s">
        <v>252</v>
      </c>
    </row>
    <row r="12" spans="1:9" ht="15.75" x14ac:dyDescent="0.25">
      <c r="A12" s="31" t="s">
        <v>53</v>
      </c>
      <c r="B12" s="32"/>
      <c r="C12" s="32"/>
      <c r="D12" s="32"/>
      <c r="E12" s="32"/>
      <c r="F12" s="33"/>
      <c r="G12" s="33"/>
      <c r="H12" s="278"/>
      <c r="I12" s="278"/>
    </row>
    <row r="13" spans="1:9" ht="15.75" x14ac:dyDescent="0.25">
      <c r="A13" s="32" t="s">
        <v>241</v>
      </c>
      <c r="B13" s="32"/>
      <c r="C13" s="32"/>
      <c r="D13" s="32"/>
      <c r="E13" s="32"/>
      <c r="F13" s="165">
        <f>15747+41683+406490+99647</f>
        <v>563567</v>
      </c>
      <c r="G13" s="165">
        <f>(13565388.64+190612519.91)/1000</f>
        <v>204177.90855000002</v>
      </c>
      <c r="H13" s="165">
        <f>135708988134.11/1000</f>
        <v>135708988.13411</v>
      </c>
      <c r="I13" s="165">
        <f>116031151785/1000</f>
        <v>116031151.785</v>
      </c>
    </row>
    <row r="14" spans="1:9" ht="15.75" x14ac:dyDescent="0.25">
      <c r="A14" s="32" t="s">
        <v>54</v>
      </c>
      <c r="B14" s="32"/>
      <c r="C14" s="32"/>
      <c r="D14" s="32"/>
      <c r="E14" s="32"/>
      <c r="F14" s="34">
        <v>71575</v>
      </c>
      <c r="G14" s="34">
        <f>73508350/1000</f>
        <v>73508.350000000006</v>
      </c>
      <c r="H14" s="165">
        <f>5222734049.1/1000</f>
        <v>5222734.0491000004</v>
      </c>
      <c r="I14" s="165">
        <f>6172570116/1000</f>
        <v>6172570.1160000004</v>
      </c>
    </row>
    <row r="15" spans="1:9" ht="15.75" x14ac:dyDescent="0.25">
      <c r="A15" s="32" t="s">
        <v>55</v>
      </c>
      <c r="B15" s="32"/>
      <c r="C15" s="32"/>
      <c r="D15" s="32"/>
      <c r="E15" s="32"/>
      <c r="F15" s="34">
        <v>22385287</v>
      </c>
      <c r="G15" s="34">
        <f>22440127704/1000-G13</f>
        <v>22235949.795449998</v>
      </c>
      <c r="H15" s="165">
        <f>213551583797.97/1000</f>
        <v>213551583.79797</v>
      </c>
      <c r="I15" s="165">
        <f>116199174550/1000</f>
        <v>116199174.55</v>
      </c>
    </row>
    <row r="16" spans="1:9" ht="15.75" x14ac:dyDescent="0.25">
      <c r="A16" s="32" t="s">
        <v>56</v>
      </c>
      <c r="B16" s="32"/>
      <c r="C16" s="32"/>
      <c r="D16" s="32"/>
      <c r="E16" s="32"/>
      <c r="F16" s="34">
        <v>0</v>
      </c>
      <c r="G16" s="34">
        <v>0</v>
      </c>
      <c r="H16" s="165">
        <v>0</v>
      </c>
      <c r="I16" s="165">
        <v>0</v>
      </c>
    </row>
    <row r="17" spans="1:13" ht="15.75" x14ac:dyDescent="0.25">
      <c r="A17" s="32" t="s">
        <v>57</v>
      </c>
      <c r="B17" s="32"/>
      <c r="C17" s="32"/>
      <c r="D17" s="32"/>
      <c r="E17" s="32"/>
      <c r="F17" s="34">
        <v>0</v>
      </c>
      <c r="G17" s="34">
        <v>0</v>
      </c>
      <c r="H17" s="165">
        <v>0</v>
      </c>
      <c r="I17" s="165">
        <v>0</v>
      </c>
    </row>
    <row r="18" spans="1:13" ht="15.75" x14ac:dyDescent="0.25">
      <c r="A18" s="32" t="s">
        <v>63</v>
      </c>
      <c r="B18" s="32"/>
      <c r="C18" s="32"/>
      <c r="D18" s="32"/>
      <c r="E18" s="32"/>
      <c r="F18" s="34">
        <v>0</v>
      </c>
      <c r="G18" s="34">
        <v>0</v>
      </c>
      <c r="H18" s="165">
        <v>0</v>
      </c>
      <c r="I18" s="165">
        <v>0</v>
      </c>
    </row>
    <row r="19" spans="1:13" ht="15.75" x14ac:dyDescent="0.25">
      <c r="A19" s="32" t="s">
        <v>64</v>
      </c>
      <c r="B19" s="32"/>
      <c r="C19" s="32"/>
      <c r="D19" s="32"/>
      <c r="E19" s="32"/>
      <c r="F19" s="34"/>
      <c r="G19" s="34"/>
      <c r="H19" s="165"/>
      <c r="I19" s="165"/>
    </row>
    <row r="20" spans="1:13" ht="15.75" x14ac:dyDescent="0.25">
      <c r="A20" s="32" t="s">
        <v>183</v>
      </c>
      <c r="B20" s="32"/>
      <c r="C20" s="32"/>
      <c r="D20" s="32"/>
      <c r="E20" s="32"/>
      <c r="F20" s="34">
        <v>128000</v>
      </c>
      <c r="G20" s="34">
        <v>86000</v>
      </c>
      <c r="H20" s="165">
        <f>1801397391.15/1000</f>
        <v>1801397.39115</v>
      </c>
      <c r="I20" s="165">
        <f>4805866537/1000</f>
        <v>4805866.5369999995</v>
      </c>
    </row>
    <row r="21" spans="1:13" ht="15.75" x14ac:dyDescent="0.25">
      <c r="A21" s="32" t="s">
        <v>65</v>
      </c>
      <c r="B21" s="32"/>
      <c r="C21" s="32"/>
      <c r="D21" s="32"/>
      <c r="E21" s="32"/>
      <c r="F21" s="34">
        <f>8437000+1892779+3171968</f>
        <v>13501747</v>
      </c>
      <c r="G21" s="34">
        <f>15911266954/1000</f>
        <v>15911266.954</v>
      </c>
      <c r="H21" s="165">
        <f>(1324522776242.03+27537674802.61)/1000</f>
        <v>1352060451.0446401</v>
      </c>
      <c r="I21" s="165">
        <f>(1371719958447+28060358634)/1000</f>
        <v>1399780317.0810001</v>
      </c>
    </row>
    <row r="22" spans="1:13" ht="15.75" x14ac:dyDescent="0.25">
      <c r="A22" s="32" t="s">
        <v>66</v>
      </c>
      <c r="B22" s="32"/>
      <c r="C22" s="32"/>
      <c r="D22" s="32"/>
      <c r="E22" s="32"/>
      <c r="F22" s="34">
        <v>2040</v>
      </c>
      <c r="G22" s="34">
        <v>2040</v>
      </c>
      <c r="H22" s="165">
        <f>227344294450.92/1000</f>
        <v>227344294.45092002</v>
      </c>
      <c r="I22" s="165">
        <f>226658661128/1000</f>
        <v>226658661.12799999</v>
      </c>
    </row>
    <row r="23" spans="1:13" ht="15.75" x14ac:dyDescent="0.25">
      <c r="A23" s="32" t="s">
        <v>67</v>
      </c>
      <c r="B23" s="32"/>
      <c r="C23" s="32"/>
      <c r="D23" s="32"/>
      <c r="E23" s="32"/>
      <c r="F23" s="34">
        <f>12418725-8437000-2040</f>
        <v>3979685</v>
      </c>
      <c r="G23" s="34">
        <f>4546250293/1000</f>
        <v>4546250.2929999996</v>
      </c>
      <c r="H23" s="165">
        <f>427087477490.62/1000</f>
        <v>427087477.49062002</v>
      </c>
      <c r="I23" s="165">
        <f>482660709737/1000</f>
        <v>482660709.73699999</v>
      </c>
    </row>
    <row r="24" spans="1:13" ht="15.75" x14ac:dyDescent="0.25">
      <c r="A24" s="32" t="s">
        <v>68</v>
      </c>
      <c r="B24" s="32"/>
      <c r="C24" s="32"/>
      <c r="D24" s="32"/>
      <c r="E24" s="32"/>
      <c r="F24" s="34">
        <v>0</v>
      </c>
      <c r="G24" s="34">
        <v>0</v>
      </c>
      <c r="H24" s="165">
        <v>0</v>
      </c>
      <c r="I24" s="165">
        <v>0</v>
      </c>
    </row>
    <row r="25" spans="1:13" ht="15.75" x14ac:dyDescent="0.25">
      <c r="A25" s="32" t="s">
        <v>69</v>
      </c>
      <c r="B25" s="32"/>
      <c r="C25" s="32"/>
      <c r="D25" s="32"/>
      <c r="E25" s="32"/>
      <c r="F25" s="34">
        <v>0</v>
      </c>
      <c r="G25" s="34">
        <v>0</v>
      </c>
      <c r="H25" s="165">
        <v>0</v>
      </c>
      <c r="I25" s="165">
        <v>0</v>
      </c>
    </row>
    <row r="26" spans="1:13" ht="15.75" x14ac:dyDescent="0.25">
      <c r="A26" s="32" t="s">
        <v>242</v>
      </c>
      <c r="B26" s="32"/>
      <c r="C26" s="32"/>
      <c r="D26" s="32"/>
      <c r="E26" s="32"/>
      <c r="F26" s="34">
        <v>140846</v>
      </c>
      <c r="G26" s="34">
        <f>143265554/1000</f>
        <v>143265.554</v>
      </c>
      <c r="H26" s="165">
        <f>29475463059.48/1000</f>
        <v>29475463.05948</v>
      </c>
      <c r="I26" s="165">
        <f>30543322282/1000</f>
        <v>30543322.282000002</v>
      </c>
    </row>
    <row r="27" spans="1:13" ht="15.75" x14ac:dyDescent="0.25">
      <c r="A27" s="32" t="s">
        <v>70</v>
      </c>
      <c r="B27" s="32"/>
      <c r="C27" s="32"/>
      <c r="D27" s="32"/>
      <c r="E27" s="32"/>
      <c r="F27" s="34">
        <v>0</v>
      </c>
      <c r="G27" s="34">
        <v>0</v>
      </c>
      <c r="H27" s="165">
        <v>0</v>
      </c>
      <c r="I27" s="165">
        <v>0</v>
      </c>
    </row>
    <row r="28" spans="1:13" ht="15.75" x14ac:dyDescent="0.25">
      <c r="A28" s="32" t="s">
        <v>71</v>
      </c>
      <c r="B28" s="32"/>
      <c r="C28" s="32"/>
      <c r="D28" s="32"/>
      <c r="E28" s="32"/>
      <c r="F28" s="34">
        <v>0</v>
      </c>
      <c r="G28" s="34">
        <v>0</v>
      </c>
      <c r="H28" s="165">
        <v>0</v>
      </c>
      <c r="I28" s="165">
        <v>0</v>
      </c>
    </row>
    <row r="29" spans="1:13" ht="15.75" x14ac:dyDescent="0.25">
      <c r="A29" s="32" t="s">
        <v>243</v>
      </c>
      <c r="B29" s="32"/>
      <c r="C29" s="32"/>
      <c r="D29" s="32"/>
      <c r="E29" s="32"/>
      <c r="F29" s="34">
        <f>6237125/1000</f>
        <v>6237.125</v>
      </c>
      <c r="G29" s="34">
        <f>6237125/1000</f>
        <v>6237.125</v>
      </c>
      <c r="H29" s="165">
        <f>21651373254.48/1000</f>
        <v>21651373.254480001</v>
      </c>
      <c r="I29" s="165">
        <f>18284412213/1000</f>
        <v>18284412.213</v>
      </c>
    </row>
    <row r="30" spans="1:13" ht="15.75" x14ac:dyDescent="0.25">
      <c r="A30" s="32" t="s">
        <v>72</v>
      </c>
      <c r="B30" s="32"/>
      <c r="C30" s="32"/>
      <c r="D30" s="32"/>
      <c r="E30" s="32"/>
      <c r="F30" s="34">
        <v>707507</v>
      </c>
      <c r="G30" s="34">
        <f>34644300/1000</f>
        <v>34644.300000000003</v>
      </c>
      <c r="H30" s="165">
        <f>83045049512.4001/1000</f>
        <v>83045049.512400106</v>
      </c>
      <c r="I30" s="165">
        <f>70538687415/1000</f>
        <v>70538687.415000007</v>
      </c>
    </row>
    <row r="31" spans="1:13" s="14" customFormat="1" ht="15.75" x14ac:dyDescent="0.25">
      <c r="A31" s="31" t="s">
        <v>73</v>
      </c>
      <c r="B31" s="31"/>
      <c r="C31" s="31"/>
      <c r="D31" s="31"/>
      <c r="E31" s="31"/>
      <c r="F31" s="35">
        <f>SUM(F13:F30)</f>
        <v>41486491.125</v>
      </c>
      <c r="G31" s="35">
        <f>SUM(G13:G30)</f>
        <v>43243340.279999994</v>
      </c>
      <c r="H31" s="273">
        <f>SUM(H13:H30)</f>
        <v>2496948812.1848702</v>
      </c>
      <c r="I31" s="273">
        <f>SUM(I13:I30)</f>
        <v>2471674872.8439999</v>
      </c>
      <c r="J31" s="175"/>
      <c r="K31" s="160"/>
      <c r="L31" s="160"/>
      <c r="M31" s="160"/>
    </row>
    <row r="32" spans="1:13" ht="15.75" x14ac:dyDescent="0.25">
      <c r="A32" s="31" t="s">
        <v>74</v>
      </c>
      <c r="B32" s="32"/>
      <c r="C32" s="32"/>
      <c r="D32" s="32"/>
      <c r="E32" s="32"/>
      <c r="F32" s="34"/>
      <c r="G32" s="34"/>
      <c r="H32" s="165"/>
      <c r="I32" s="165"/>
    </row>
    <row r="33" spans="1:10" ht="15.75" x14ac:dyDescent="0.25">
      <c r="A33" s="32" t="s">
        <v>75</v>
      </c>
      <c r="B33" s="32"/>
      <c r="C33" s="32"/>
      <c r="D33" s="32"/>
      <c r="E33" s="32"/>
      <c r="F33" s="34">
        <v>29634868</v>
      </c>
      <c r="G33" s="34">
        <f>32478836590/1000</f>
        <v>32478836.59</v>
      </c>
      <c r="H33" s="165">
        <f>34160086383.16/1000</f>
        <v>34160086.383160003</v>
      </c>
      <c r="I33" s="165">
        <f>47981280799/1000</f>
        <v>47981280.799000002</v>
      </c>
    </row>
    <row r="34" spans="1:10" ht="15.75" x14ac:dyDescent="0.25">
      <c r="A34" s="32" t="s">
        <v>56</v>
      </c>
      <c r="B34" s="32"/>
      <c r="C34" s="32"/>
      <c r="D34" s="32"/>
      <c r="E34" s="32"/>
      <c r="F34" s="34">
        <v>0</v>
      </c>
      <c r="G34" s="34">
        <v>0</v>
      </c>
      <c r="H34" s="165">
        <v>0</v>
      </c>
      <c r="I34" s="165">
        <v>0</v>
      </c>
    </row>
    <row r="35" spans="1:10" ht="15.75" x14ac:dyDescent="0.25">
      <c r="A35" s="32" t="s">
        <v>57</v>
      </c>
      <c r="B35" s="32"/>
      <c r="C35" s="32"/>
      <c r="D35" s="32"/>
      <c r="E35" s="32"/>
      <c r="F35" s="34">
        <v>0</v>
      </c>
      <c r="G35" s="34">
        <v>0</v>
      </c>
      <c r="H35" s="165">
        <v>0</v>
      </c>
      <c r="I35" s="165">
        <v>0</v>
      </c>
    </row>
    <row r="36" spans="1:10" ht="15.75" x14ac:dyDescent="0.25">
      <c r="A36" s="32" t="s">
        <v>244</v>
      </c>
      <c r="B36" s="32"/>
      <c r="C36" s="32"/>
      <c r="D36" s="32"/>
      <c r="E36" s="32"/>
      <c r="F36" s="34">
        <v>0</v>
      </c>
      <c r="G36" s="34">
        <v>0</v>
      </c>
      <c r="H36" s="165">
        <v>0</v>
      </c>
      <c r="I36" s="165">
        <v>0</v>
      </c>
    </row>
    <row r="37" spans="1:10" ht="15.75" x14ac:dyDescent="0.25">
      <c r="A37" s="32" t="s">
        <v>64</v>
      </c>
      <c r="B37" s="32"/>
      <c r="C37" s="32"/>
      <c r="D37" s="32"/>
      <c r="E37" s="32"/>
      <c r="F37" s="34">
        <v>0</v>
      </c>
      <c r="G37" s="34"/>
      <c r="H37" s="165"/>
      <c r="I37" s="165"/>
    </row>
    <row r="38" spans="1:10" ht="15.75" x14ac:dyDescent="0.25">
      <c r="A38" s="32" t="s">
        <v>142</v>
      </c>
      <c r="B38" s="32"/>
      <c r="C38" s="32"/>
      <c r="D38" s="32"/>
      <c r="E38" s="32"/>
      <c r="F38" s="34">
        <f>868672+1978048</f>
        <v>2846720</v>
      </c>
      <c r="G38" s="34">
        <f>2712965536/1000</f>
        <v>2712965.5359999998</v>
      </c>
      <c r="H38" s="165">
        <f>2165734016727.45/1000</f>
        <v>2165734016.7274499</v>
      </c>
      <c r="I38" s="165">
        <f>2113196856099/1000</f>
        <v>2113196856.099</v>
      </c>
    </row>
    <row r="39" spans="1:10" ht="15.75" x14ac:dyDescent="0.25">
      <c r="A39" s="32" t="s">
        <v>76</v>
      </c>
      <c r="B39" s="32"/>
      <c r="C39" s="32"/>
      <c r="D39" s="32"/>
      <c r="E39" s="32"/>
      <c r="F39" s="34">
        <v>0</v>
      </c>
      <c r="G39" s="34">
        <v>0</v>
      </c>
      <c r="H39" s="165">
        <v>0</v>
      </c>
      <c r="I39" s="165">
        <v>0</v>
      </c>
    </row>
    <row r="40" spans="1:10" ht="15.75" x14ac:dyDescent="0.25">
      <c r="A40" s="32" t="s">
        <v>77</v>
      </c>
      <c r="B40" s="32"/>
      <c r="C40" s="32"/>
      <c r="D40" s="32"/>
      <c r="E40" s="32"/>
      <c r="F40" s="34">
        <v>0</v>
      </c>
      <c r="G40" s="34">
        <v>0</v>
      </c>
      <c r="H40" s="165">
        <v>0</v>
      </c>
      <c r="I40" s="165">
        <v>0</v>
      </c>
    </row>
    <row r="41" spans="1:10" ht="15.75" x14ac:dyDescent="0.25">
      <c r="A41" s="32" t="s">
        <v>78</v>
      </c>
      <c r="B41" s="32"/>
      <c r="C41" s="32"/>
      <c r="D41" s="32"/>
      <c r="E41" s="32"/>
      <c r="F41" s="34">
        <v>63240</v>
      </c>
      <c r="G41" s="34">
        <f>84279609/1000</f>
        <v>84279.608999999997</v>
      </c>
      <c r="H41" s="165">
        <v>0</v>
      </c>
      <c r="I41" s="165">
        <v>0</v>
      </c>
    </row>
    <row r="42" spans="1:10" ht="15.75" x14ac:dyDescent="0.25">
      <c r="A42" s="32" t="s">
        <v>247</v>
      </c>
      <c r="B42" s="32"/>
      <c r="C42" s="32"/>
      <c r="D42" s="32"/>
      <c r="E42" s="32"/>
      <c r="F42" s="34">
        <v>0</v>
      </c>
      <c r="G42" s="34">
        <v>0</v>
      </c>
      <c r="H42" s="165">
        <f>587856303.78/1000</f>
        <v>587856.30377999996</v>
      </c>
      <c r="I42" s="165">
        <f>-2665124/1000</f>
        <v>-2665.1239999999998</v>
      </c>
    </row>
    <row r="43" spans="1:10" ht="15.75" x14ac:dyDescent="0.25">
      <c r="A43" s="32" t="s">
        <v>79</v>
      </c>
      <c r="B43" s="32"/>
      <c r="C43" s="32"/>
      <c r="D43" s="32"/>
      <c r="E43" s="32"/>
      <c r="F43" s="34">
        <f>18949297.5/1000</f>
        <v>18949.297500000001</v>
      </c>
      <c r="G43" s="34">
        <f>(34513116)/1000</f>
        <v>34513.116000000002</v>
      </c>
      <c r="H43" s="165">
        <f>78494425.6/1000</f>
        <v>78494.425599999988</v>
      </c>
      <c r="I43" s="165">
        <f>78074244/1000</f>
        <v>78074.244000000006</v>
      </c>
    </row>
    <row r="44" spans="1:10" ht="15.75" x14ac:dyDescent="0.25">
      <c r="A44" s="32" t="s">
        <v>80</v>
      </c>
      <c r="B44" s="32"/>
      <c r="C44" s="32"/>
      <c r="D44" s="32"/>
      <c r="E44" s="32"/>
      <c r="F44" s="34">
        <f>531562+6237-F41-F43</f>
        <v>455609.70250000001</v>
      </c>
      <c r="G44" s="34">
        <f>170898483/1000</f>
        <v>170898.48300000001</v>
      </c>
      <c r="H44" s="165">
        <f>175026980033.12/1000</f>
        <v>175026980.03312001</v>
      </c>
      <c r="I44" s="165">
        <f>172975849237/1000</f>
        <v>172975849.23699999</v>
      </c>
    </row>
    <row r="45" spans="1:10" ht="15.75" x14ac:dyDescent="0.25">
      <c r="A45" s="32" t="s">
        <v>81</v>
      </c>
      <c r="B45" s="32"/>
      <c r="C45" s="32"/>
      <c r="D45" s="32"/>
      <c r="E45" s="32"/>
      <c r="F45" s="34">
        <v>0</v>
      </c>
      <c r="G45" s="34">
        <v>0</v>
      </c>
      <c r="H45" s="165">
        <v>0</v>
      </c>
      <c r="I45" s="165">
        <v>0</v>
      </c>
    </row>
    <row r="46" spans="1:10" ht="15.75" x14ac:dyDescent="0.25">
      <c r="A46" s="32" t="s">
        <v>82</v>
      </c>
      <c r="B46" s="32"/>
      <c r="C46" s="32"/>
      <c r="D46" s="32"/>
      <c r="E46" s="32"/>
      <c r="F46" s="34">
        <v>0</v>
      </c>
      <c r="G46" s="34">
        <v>0</v>
      </c>
      <c r="H46" s="165">
        <v>0</v>
      </c>
      <c r="I46" s="165">
        <v>0</v>
      </c>
    </row>
    <row r="47" spans="1:10" s="14" customFormat="1" ht="15.75" x14ac:dyDescent="0.25">
      <c r="A47" s="31" t="s">
        <v>83</v>
      </c>
      <c r="B47" s="31"/>
      <c r="C47" s="31"/>
      <c r="D47" s="31"/>
      <c r="E47" s="31"/>
      <c r="F47" s="35">
        <f>SUM(F33:F46)</f>
        <v>33019387</v>
      </c>
      <c r="G47" s="35">
        <f>SUM(G33:G46)</f>
        <v>35481493.333999999</v>
      </c>
      <c r="H47" s="273">
        <f>SUM(H33:H46)</f>
        <v>2375587433.8731103</v>
      </c>
      <c r="I47" s="273">
        <f>SUM(I33:I46)</f>
        <v>2334229395.2549996</v>
      </c>
      <c r="J47" s="160"/>
    </row>
    <row r="48" spans="1:10" ht="15.75" x14ac:dyDescent="0.25">
      <c r="A48" s="31" t="s">
        <v>84</v>
      </c>
      <c r="B48" s="32"/>
      <c r="C48" s="32"/>
      <c r="D48" s="32"/>
      <c r="E48" s="32"/>
      <c r="F48" s="34"/>
      <c r="G48" s="34"/>
      <c r="H48" s="165"/>
      <c r="I48" s="165"/>
    </row>
    <row r="49" spans="1:10" ht="15.75" x14ac:dyDescent="0.25">
      <c r="A49" s="32" t="s">
        <v>85</v>
      </c>
      <c r="B49" s="32"/>
      <c r="C49" s="32"/>
      <c r="D49" s="32"/>
      <c r="E49" s="32"/>
      <c r="F49" s="34">
        <v>2288494</v>
      </c>
      <c r="G49" s="34">
        <v>2288494</v>
      </c>
      <c r="H49" s="165">
        <f>28525589460/1000</f>
        <v>28525589.460000001</v>
      </c>
      <c r="I49" s="165">
        <f>24547289280/1000</f>
        <v>24547289.280000001</v>
      </c>
    </row>
    <row r="50" spans="1:10" ht="15.75" x14ac:dyDescent="0.25">
      <c r="A50" s="32" t="s">
        <v>86</v>
      </c>
      <c r="B50" s="32"/>
      <c r="C50" s="32"/>
      <c r="D50" s="32"/>
      <c r="E50" s="32"/>
      <c r="F50" s="34">
        <f>269530789/1000</f>
        <v>269530.78899999999</v>
      </c>
      <c r="G50" s="34">
        <f>269530789/1000</f>
        <v>269530.78899999999</v>
      </c>
      <c r="H50" s="165">
        <f>29621186916.43/1000</f>
        <v>29621186.91643</v>
      </c>
      <c r="I50" s="165">
        <f>29621186916/1000</f>
        <v>29621186.916000001</v>
      </c>
    </row>
    <row r="51" spans="1:10" ht="15.75" x14ac:dyDescent="0.25">
      <c r="A51" s="32" t="s">
        <v>87</v>
      </c>
      <c r="B51" s="32"/>
      <c r="C51" s="32"/>
      <c r="D51" s="32"/>
      <c r="E51" s="32"/>
      <c r="F51" s="34">
        <v>5564655</v>
      </c>
      <c r="G51" s="34">
        <f>(4790315869+69082104)/1000</f>
        <v>4859397.9730000002</v>
      </c>
      <c r="H51" s="165">
        <v>0</v>
      </c>
      <c r="I51" s="165">
        <v>0</v>
      </c>
    </row>
    <row r="52" spans="1:10" ht="15.75" x14ac:dyDescent="0.25">
      <c r="A52" s="32" t="s">
        <v>88</v>
      </c>
      <c r="B52" s="32"/>
      <c r="C52" s="32"/>
      <c r="D52" s="32"/>
      <c r="E52" s="32"/>
      <c r="F52" s="34">
        <v>344424</v>
      </c>
      <c r="G52" s="34">
        <f>345999-1575</f>
        <v>344424</v>
      </c>
      <c r="H52" s="165">
        <f>+(979557733.17+62235044201.85)/1000</f>
        <v>63214601.93502</v>
      </c>
      <c r="I52" s="165">
        <f>(82297443657+979557733)/1000</f>
        <v>83277001.390000001</v>
      </c>
    </row>
    <row r="53" spans="1:10" s="241" customFormat="1" ht="15.75" x14ac:dyDescent="0.25">
      <c r="A53" s="31" t="s">
        <v>89</v>
      </c>
      <c r="B53" s="31"/>
      <c r="C53" s="31"/>
      <c r="D53" s="31"/>
      <c r="E53" s="31"/>
      <c r="F53" s="35">
        <f>SUM(F49:F52)</f>
        <v>8467103.7890000008</v>
      </c>
      <c r="G53" s="35">
        <f>SUM(G49:G52)</f>
        <v>7761846.7620000001</v>
      </c>
      <c r="H53" s="273">
        <f t="shared" ref="H53:I53" si="0">SUM(H49:H52)</f>
        <v>121361378.31145</v>
      </c>
      <c r="I53" s="273">
        <f t="shared" si="0"/>
        <v>137445477.586</v>
      </c>
      <c r="J53" s="240"/>
    </row>
    <row r="54" spans="1:10" ht="15.75" x14ac:dyDescent="0.25">
      <c r="A54" s="32" t="s">
        <v>90</v>
      </c>
      <c r="B54" s="32"/>
      <c r="C54" s="32"/>
      <c r="D54" s="32"/>
      <c r="E54" s="32"/>
      <c r="F54" s="34"/>
      <c r="G54" s="34"/>
      <c r="H54" s="165"/>
      <c r="I54" s="165"/>
    </row>
    <row r="55" spans="1:10" s="14" customFormat="1" ht="15.75" x14ac:dyDescent="0.25">
      <c r="A55" s="31" t="s">
        <v>91</v>
      </c>
      <c r="B55" s="31"/>
      <c r="C55" s="31"/>
      <c r="D55" s="31"/>
      <c r="E55" s="31"/>
      <c r="F55" s="35">
        <f>+F54+F53</f>
        <v>8467103.7890000008</v>
      </c>
      <c r="G55" s="35">
        <f>+G54+G53</f>
        <v>7761846.7620000001</v>
      </c>
      <c r="H55" s="273">
        <f>+H54+H53</f>
        <v>121361378.31145</v>
      </c>
      <c r="I55" s="273">
        <f>+I54+I53</f>
        <v>137445477.586</v>
      </c>
      <c r="J55" s="160"/>
    </row>
    <row r="56" spans="1:10" s="14" customFormat="1" ht="15.75" x14ac:dyDescent="0.25">
      <c r="A56" s="31" t="s">
        <v>92</v>
      </c>
      <c r="B56" s="31"/>
      <c r="C56" s="31"/>
      <c r="D56" s="31"/>
      <c r="E56" s="31"/>
      <c r="F56" s="35">
        <f>+F55+F47</f>
        <v>41486490.789000005</v>
      </c>
      <c r="G56" s="35">
        <f>+G55+G47</f>
        <v>43243340.096000001</v>
      </c>
      <c r="H56" s="273">
        <f>+H55+H47</f>
        <v>2496948812.1845603</v>
      </c>
      <c r="I56" s="273">
        <f>+I55+I47</f>
        <v>2471674872.8409996</v>
      </c>
      <c r="J56" s="160"/>
    </row>
    <row r="57" spans="1:10" ht="15.75" x14ac:dyDescent="0.25">
      <c r="A57" s="31" t="s">
        <v>93</v>
      </c>
      <c r="B57" s="32"/>
      <c r="C57" s="32"/>
      <c r="D57" s="32"/>
      <c r="E57" s="32"/>
      <c r="F57" s="165">
        <v>1442173</v>
      </c>
      <c r="G57" s="165">
        <f>2038814848/1000</f>
        <v>2038814.848</v>
      </c>
      <c r="H57" s="165">
        <f>612137513220.81/1000</f>
        <v>612137513.22081006</v>
      </c>
      <c r="I57" s="165">
        <f>683269857712/1000</f>
        <v>683269857.71200001</v>
      </c>
    </row>
    <row r="58" spans="1:10" ht="15.75" x14ac:dyDescent="0.25">
      <c r="A58" s="31" t="s">
        <v>94</v>
      </c>
      <c r="B58" s="32"/>
      <c r="C58" s="32"/>
      <c r="D58" s="32"/>
      <c r="E58" s="32"/>
      <c r="F58" s="165"/>
      <c r="G58" s="165"/>
      <c r="H58" s="165"/>
      <c r="I58" s="165"/>
    </row>
    <row r="59" spans="1:10" ht="15.75" x14ac:dyDescent="0.25">
      <c r="A59" s="32" t="s">
        <v>95</v>
      </c>
      <c r="B59" s="32"/>
      <c r="C59" s="32"/>
      <c r="D59" s="32"/>
      <c r="E59" s="32"/>
      <c r="F59" s="165">
        <v>21</v>
      </c>
      <c r="G59" s="165">
        <v>24</v>
      </c>
      <c r="H59" s="165">
        <v>28473</v>
      </c>
      <c r="I59" s="165">
        <v>29967</v>
      </c>
      <c r="J59" s="204"/>
    </row>
    <row r="60" spans="1:10" ht="15.75" x14ac:dyDescent="0.25">
      <c r="A60" s="32" t="s">
        <v>96</v>
      </c>
      <c r="B60" s="32"/>
      <c r="C60" s="32"/>
      <c r="D60" s="32"/>
      <c r="E60" s="32"/>
      <c r="F60" s="165">
        <v>2</v>
      </c>
      <c r="G60" s="165">
        <v>2</v>
      </c>
      <c r="H60" s="165">
        <v>3350</v>
      </c>
      <c r="I60" s="165">
        <v>3387</v>
      </c>
      <c r="J60" s="204"/>
    </row>
    <row r="61" spans="1:10" x14ac:dyDescent="0.25">
      <c r="F61" s="13"/>
      <c r="G61" s="13"/>
      <c r="H61" s="279"/>
      <c r="I61" s="13"/>
    </row>
    <row r="62" spans="1:10" ht="15.75" x14ac:dyDescent="0.25">
      <c r="F62" s="12"/>
      <c r="G62" s="19"/>
      <c r="H62" s="280"/>
      <c r="I62" s="19"/>
    </row>
    <row r="63" spans="1:10" ht="15.75" x14ac:dyDescent="0.25">
      <c r="F63" s="12"/>
      <c r="G63" s="19"/>
      <c r="H63" s="280"/>
      <c r="I63" s="19"/>
    </row>
    <row r="64" spans="1:10" ht="15.75" x14ac:dyDescent="0.25">
      <c r="F64" s="12"/>
      <c r="G64" s="19"/>
      <c r="H64" s="280"/>
      <c r="I64" s="19"/>
    </row>
    <row r="65" spans="6:9" ht="15.75" x14ac:dyDescent="0.25">
      <c r="F65" s="12"/>
      <c r="G65" s="19"/>
      <c r="H65" s="280"/>
      <c r="I65" s="19"/>
    </row>
    <row r="66" spans="6:9" x14ac:dyDescent="0.25">
      <c r="F66" s="19"/>
      <c r="G66" s="19"/>
      <c r="H66" s="280"/>
      <c r="I66" s="19"/>
    </row>
    <row r="67" spans="6:9" x14ac:dyDescent="0.25">
      <c r="F67" s="19"/>
      <c r="G67" s="19"/>
      <c r="H67" s="280"/>
      <c r="I67" s="19"/>
    </row>
    <row r="68" spans="6:9" x14ac:dyDescent="0.25">
      <c r="F68" s="19"/>
      <c r="G68" s="19"/>
      <c r="H68" s="280"/>
      <c r="I68" s="19"/>
    </row>
    <row r="69" spans="6:9" x14ac:dyDescent="0.25">
      <c r="F69" s="19"/>
      <c r="G69" s="19"/>
      <c r="H69" s="280"/>
      <c r="I69" s="19"/>
    </row>
    <row r="70" spans="6:9" x14ac:dyDescent="0.25">
      <c r="F70" s="19"/>
      <c r="G70" s="19"/>
      <c r="H70" s="280"/>
      <c r="I70" s="19"/>
    </row>
    <row r="71" spans="6:9" x14ac:dyDescent="0.25">
      <c r="F71" s="19"/>
      <c r="G71" s="19"/>
      <c r="H71" s="280"/>
      <c r="I71" s="19"/>
    </row>
    <row r="72" spans="6:9" x14ac:dyDescent="0.25">
      <c r="F72" s="19"/>
      <c r="G72" s="19"/>
      <c r="H72" s="280"/>
      <c r="I72" s="19"/>
    </row>
    <row r="73" spans="6:9" x14ac:dyDescent="0.25">
      <c r="F73" s="19"/>
      <c r="G73" s="19"/>
      <c r="H73" s="280"/>
      <c r="I73" s="19"/>
    </row>
    <row r="74" spans="6:9" x14ac:dyDescent="0.25">
      <c r="F74" s="19"/>
      <c r="G74" s="19"/>
      <c r="H74" s="280"/>
      <c r="I74" s="19"/>
    </row>
    <row r="75" spans="6:9" x14ac:dyDescent="0.25">
      <c r="F75" s="19"/>
      <c r="G75" s="19"/>
      <c r="H75" s="280"/>
      <c r="I75" s="19"/>
    </row>
  </sheetData>
  <mergeCells count="10">
    <mergeCell ref="A1:I1"/>
    <mergeCell ref="A2:I2"/>
    <mergeCell ref="A4:I4"/>
    <mergeCell ref="I6:I7"/>
    <mergeCell ref="H6:H7"/>
    <mergeCell ref="G6:G7"/>
    <mergeCell ref="F6:F7"/>
    <mergeCell ref="A3:I3"/>
    <mergeCell ref="F5:G5"/>
    <mergeCell ref="H5:I5"/>
  </mergeCells>
  <phoneticPr fontId="0" type="noConversion"/>
  <pageMargins left="0.45" right="0.17" top="0.48" bottom="0.26" header="0.31496062992126" footer="0.17"/>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workbookViewId="0">
      <selection activeCell="A3" sqref="A3:O3"/>
    </sheetView>
  </sheetViews>
  <sheetFormatPr defaultRowHeight="15" x14ac:dyDescent="0.25"/>
  <cols>
    <col min="1" max="1" width="45.7109375" style="1" customWidth="1"/>
    <col min="2" max="5" width="0" style="1" hidden="1" customWidth="1"/>
    <col min="6" max="6" width="14.7109375" style="1" customWidth="1"/>
    <col min="7" max="7" width="14.28515625" style="1" customWidth="1"/>
    <col min="8" max="8" width="15" style="1" customWidth="1"/>
    <col min="9" max="9" width="14.42578125" style="1" customWidth="1"/>
    <col min="10" max="10" width="15.42578125" style="1" customWidth="1"/>
    <col min="11" max="11" width="16.5703125" style="1" customWidth="1"/>
    <col min="12" max="12" width="15.28515625" style="1" bestFit="1" customWidth="1"/>
    <col min="13" max="13" width="15.7109375" style="1" bestFit="1" customWidth="1"/>
    <col min="14" max="14" width="15.7109375" style="1" customWidth="1"/>
    <col min="15" max="15" width="15.7109375" style="1" bestFit="1" customWidth="1"/>
    <col min="16" max="16384" width="9.140625" style="1"/>
  </cols>
  <sheetData>
    <row r="1" spans="1:22" ht="15.75" x14ac:dyDescent="0.25">
      <c r="A1" s="285" t="s">
        <v>39</v>
      </c>
      <c r="B1" s="286"/>
      <c r="C1" s="286"/>
      <c r="D1" s="286"/>
      <c r="E1" s="286"/>
      <c r="F1" s="286"/>
      <c r="G1" s="286"/>
      <c r="H1" s="286"/>
      <c r="I1" s="286"/>
      <c r="J1" s="286"/>
      <c r="K1" s="286"/>
      <c r="L1" s="286"/>
      <c r="M1" s="286"/>
      <c r="N1" s="286"/>
      <c r="O1" s="287"/>
    </row>
    <row r="2" spans="1:22" ht="15.75" x14ac:dyDescent="0.25">
      <c r="A2" s="288" t="s">
        <v>97</v>
      </c>
      <c r="B2" s="289"/>
      <c r="C2" s="289"/>
      <c r="D2" s="289"/>
      <c r="E2" s="289"/>
      <c r="F2" s="289"/>
      <c r="G2" s="289"/>
      <c r="H2" s="289"/>
      <c r="I2" s="289"/>
      <c r="J2" s="289"/>
      <c r="K2" s="289"/>
      <c r="L2" s="289"/>
      <c r="M2" s="289"/>
      <c r="N2" s="289"/>
      <c r="O2" s="290"/>
      <c r="P2" s="79"/>
      <c r="Q2" s="79"/>
      <c r="R2" s="79"/>
      <c r="S2" s="79"/>
      <c r="T2" s="79"/>
      <c r="U2" s="79"/>
      <c r="V2" s="79"/>
    </row>
    <row r="3" spans="1:22" ht="15.75" x14ac:dyDescent="0.25">
      <c r="A3" s="288" t="s">
        <v>336</v>
      </c>
      <c r="B3" s="289"/>
      <c r="C3" s="289"/>
      <c r="D3" s="289"/>
      <c r="E3" s="289"/>
      <c r="F3" s="289"/>
      <c r="G3" s="289"/>
      <c r="H3" s="289"/>
      <c r="I3" s="289"/>
      <c r="J3" s="289"/>
      <c r="K3" s="289"/>
      <c r="L3" s="289"/>
      <c r="M3" s="289"/>
      <c r="N3" s="289"/>
      <c r="O3" s="290"/>
      <c r="P3" s="79"/>
      <c r="Q3" s="79"/>
      <c r="R3" s="79"/>
      <c r="S3" s="79"/>
      <c r="T3" s="79"/>
      <c r="U3" s="79"/>
      <c r="V3" s="79"/>
    </row>
    <row r="4" spans="1:22" ht="15.75" x14ac:dyDescent="0.25">
      <c r="A4" s="291"/>
      <c r="B4" s="292"/>
      <c r="C4" s="292"/>
      <c r="D4" s="292"/>
      <c r="E4" s="292"/>
      <c r="F4" s="292"/>
      <c r="G4" s="292"/>
      <c r="H4" s="292"/>
      <c r="I4" s="292"/>
      <c r="J4" s="292"/>
      <c r="K4" s="292"/>
      <c r="L4" s="292"/>
      <c r="M4" s="292"/>
      <c r="N4" s="292"/>
      <c r="O4" s="293"/>
      <c r="P4" s="78"/>
      <c r="Q4" s="78"/>
      <c r="R4" s="78"/>
      <c r="S4" s="78"/>
      <c r="T4" s="78"/>
      <c r="U4" s="78"/>
      <c r="V4" s="78"/>
    </row>
    <row r="5" spans="1:22" ht="37.5" customHeight="1" x14ac:dyDescent="0.25">
      <c r="A5" s="112" t="s">
        <v>34</v>
      </c>
      <c r="B5" s="106"/>
      <c r="C5" s="106"/>
      <c r="D5" s="106"/>
      <c r="E5" s="106"/>
      <c r="F5" s="106"/>
      <c r="G5" s="106"/>
      <c r="H5" s="106"/>
      <c r="I5" s="106"/>
      <c r="J5" s="106"/>
      <c r="K5" s="106"/>
      <c r="L5" s="106"/>
      <c r="M5" s="106"/>
      <c r="N5" s="106"/>
      <c r="O5" s="107"/>
    </row>
    <row r="6" spans="1:22" ht="15.75" x14ac:dyDescent="0.25">
      <c r="A6" s="71"/>
      <c r="B6" s="8"/>
      <c r="C6" s="8"/>
      <c r="D6" s="8"/>
      <c r="E6" s="8"/>
      <c r="F6" s="309" t="s">
        <v>114</v>
      </c>
      <c r="G6" s="310"/>
      <c r="H6" s="311"/>
      <c r="I6" s="309" t="s">
        <v>123</v>
      </c>
      <c r="J6" s="310"/>
      <c r="K6" s="311"/>
      <c r="L6" s="83"/>
      <c r="M6" s="80"/>
      <c r="N6" s="84"/>
      <c r="O6" s="80"/>
    </row>
    <row r="7" spans="1:22" ht="31.5" x14ac:dyDescent="0.25">
      <c r="A7" s="72" t="s">
        <v>250</v>
      </c>
      <c r="B7" s="9"/>
      <c r="C7" s="9"/>
      <c r="D7" s="9"/>
      <c r="E7" s="9"/>
      <c r="F7" s="80" t="s">
        <v>115</v>
      </c>
      <c r="G7" s="80" t="s">
        <v>115</v>
      </c>
      <c r="H7" s="80" t="s">
        <v>119</v>
      </c>
      <c r="I7" s="81" t="s">
        <v>121</v>
      </c>
      <c r="J7" s="81" t="s">
        <v>124</v>
      </c>
      <c r="K7" s="81" t="s">
        <v>126</v>
      </c>
      <c r="L7" s="81" t="s">
        <v>128</v>
      </c>
      <c r="M7" s="81" t="s">
        <v>130</v>
      </c>
      <c r="N7" s="85" t="s">
        <v>245</v>
      </c>
      <c r="O7" s="81" t="s">
        <v>91</v>
      </c>
    </row>
    <row r="8" spans="1:22" ht="15.75" x14ac:dyDescent="0.25">
      <c r="A8" s="73"/>
      <c r="B8" s="9"/>
      <c r="C8" s="9"/>
      <c r="D8" s="9"/>
      <c r="E8" s="9"/>
      <c r="F8" s="81" t="s">
        <v>116</v>
      </c>
      <c r="G8" s="81" t="s">
        <v>118</v>
      </c>
      <c r="H8" s="81" t="s">
        <v>120</v>
      </c>
      <c r="I8" s="81" t="s">
        <v>122</v>
      </c>
      <c r="J8" s="81" t="s">
        <v>125</v>
      </c>
      <c r="K8" s="81" t="s">
        <v>127</v>
      </c>
      <c r="L8" s="81" t="s">
        <v>129</v>
      </c>
      <c r="M8" s="81"/>
      <c r="N8" s="81" t="s">
        <v>131</v>
      </c>
      <c r="O8" s="81"/>
    </row>
    <row r="9" spans="1:22" ht="15.75" x14ac:dyDescent="0.25">
      <c r="A9" s="38"/>
      <c r="B9" s="5"/>
      <c r="C9" s="5"/>
      <c r="D9" s="5"/>
      <c r="E9" s="5"/>
      <c r="F9" s="82" t="s">
        <v>117</v>
      </c>
      <c r="G9" s="82" t="s">
        <v>117</v>
      </c>
      <c r="H9" s="82"/>
      <c r="I9" s="82"/>
      <c r="J9" s="82"/>
      <c r="K9" s="82"/>
      <c r="L9" s="82"/>
      <c r="M9" s="82"/>
      <c r="N9" s="82"/>
      <c r="O9" s="82"/>
    </row>
    <row r="10" spans="1:22" ht="15.75" x14ac:dyDescent="0.25">
      <c r="A10" s="31" t="s">
        <v>328</v>
      </c>
      <c r="B10" s="70"/>
      <c r="C10" s="68"/>
      <c r="D10" s="68"/>
      <c r="E10" s="74"/>
      <c r="F10" s="233">
        <v>0</v>
      </c>
      <c r="G10" s="233">
        <v>0</v>
      </c>
      <c r="H10" s="233">
        <v>2288494</v>
      </c>
      <c r="I10" s="234">
        <v>269530.74199999997</v>
      </c>
      <c r="J10" s="233">
        <v>69082.104000000007</v>
      </c>
      <c r="K10" s="233">
        <v>4790316.1000000006</v>
      </c>
      <c r="L10" s="233">
        <v>344423.68300000002</v>
      </c>
      <c r="M10" s="233">
        <v>7761846.6290000007</v>
      </c>
      <c r="N10" s="233">
        <v>0</v>
      </c>
      <c r="O10" s="233">
        <v>7761846.6290000007</v>
      </c>
    </row>
    <row r="11" spans="1:22" ht="15.75" x14ac:dyDescent="0.25">
      <c r="A11" s="67" t="s">
        <v>98</v>
      </c>
      <c r="B11" s="70"/>
      <c r="C11" s="68"/>
      <c r="D11" s="68"/>
      <c r="E11" s="74"/>
      <c r="F11" s="69"/>
      <c r="G11" s="69"/>
      <c r="H11" s="69"/>
      <c r="I11" s="75"/>
      <c r="J11" s="69"/>
      <c r="K11" s="69"/>
      <c r="L11" s="69"/>
      <c r="M11" s="69"/>
      <c r="N11" s="69"/>
      <c r="O11" s="69"/>
    </row>
    <row r="12" spans="1:22" ht="15.75" x14ac:dyDescent="0.25">
      <c r="A12" s="68"/>
      <c r="B12" s="70"/>
      <c r="C12" s="68"/>
      <c r="D12" s="68"/>
      <c r="E12" s="74"/>
      <c r="F12" s="69"/>
      <c r="G12" s="69"/>
      <c r="H12" s="69"/>
      <c r="I12" s="75"/>
      <c r="J12" s="69"/>
      <c r="K12" s="69"/>
      <c r="L12" s="69"/>
      <c r="M12" s="69">
        <f>SUM(F12:L12)</f>
        <v>0</v>
      </c>
      <c r="N12" s="69"/>
      <c r="O12" s="69">
        <f>+N12+M12</f>
        <v>0</v>
      </c>
    </row>
    <row r="13" spans="1:22" ht="15.75" x14ac:dyDescent="0.25">
      <c r="A13" s="68" t="s">
        <v>99</v>
      </c>
      <c r="B13" s="70"/>
      <c r="C13" s="68"/>
      <c r="D13" s="68"/>
      <c r="E13" s="74"/>
      <c r="F13" s="69">
        <v>0</v>
      </c>
      <c r="G13" s="69">
        <v>0</v>
      </c>
      <c r="H13" s="69">
        <v>0</v>
      </c>
      <c r="I13" s="75">
        <v>0</v>
      </c>
      <c r="J13" s="69">
        <v>0</v>
      </c>
      <c r="K13" s="69">
        <v>690752</v>
      </c>
      <c r="L13" s="69"/>
      <c r="M13" s="69">
        <f>SUM(F13:L13)</f>
        <v>690752</v>
      </c>
      <c r="N13" s="69"/>
      <c r="O13" s="69">
        <f>+N13+M13</f>
        <v>690752</v>
      </c>
    </row>
    <row r="14" spans="1:22" ht="15.75" x14ac:dyDescent="0.25">
      <c r="A14" s="68" t="s">
        <v>100</v>
      </c>
      <c r="B14" s="70"/>
      <c r="C14" s="68"/>
      <c r="D14" s="68"/>
      <c r="E14" s="74"/>
      <c r="F14" s="69"/>
      <c r="G14" s="69"/>
      <c r="H14" s="69"/>
      <c r="I14" s="75"/>
      <c r="J14" s="69">
        <v>14505</v>
      </c>
      <c r="K14" s="69">
        <v>0</v>
      </c>
      <c r="L14" s="69"/>
      <c r="M14" s="69">
        <f>SUM(F14:L14)</f>
        <v>14505</v>
      </c>
      <c r="N14" s="69"/>
      <c r="O14" s="69">
        <f>+N14+M14</f>
        <v>14505</v>
      </c>
    </row>
    <row r="15" spans="1:22" ht="15.75" x14ac:dyDescent="0.25">
      <c r="A15" s="31" t="s">
        <v>98</v>
      </c>
      <c r="B15" s="3"/>
      <c r="C15" s="3"/>
      <c r="D15" s="3"/>
      <c r="E15" s="3"/>
      <c r="F15" s="34">
        <f>+F11+F13+F14</f>
        <v>0</v>
      </c>
      <c r="G15" s="34">
        <f>+G11+G13+G14</f>
        <v>0</v>
      </c>
      <c r="H15" s="34">
        <f>H10</f>
        <v>2288494</v>
      </c>
      <c r="I15" s="76">
        <f>I10</f>
        <v>269530.74199999997</v>
      </c>
      <c r="J15" s="34">
        <f>+J10+J13+J14</f>
        <v>83587.104000000007</v>
      </c>
      <c r="K15" s="34">
        <f>+K10+K13</f>
        <v>5481068.1000000006</v>
      </c>
      <c r="L15" s="34">
        <f>L10+L14</f>
        <v>344423.68300000002</v>
      </c>
      <c r="M15" s="34">
        <f>SUM(F15:L15)</f>
        <v>8467103.6290000007</v>
      </c>
      <c r="N15" s="34">
        <f>+N11+N13+N14</f>
        <v>0</v>
      </c>
      <c r="O15" s="34">
        <f>M15</f>
        <v>8467103.6290000007</v>
      </c>
    </row>
    <row r="16" spans="1:22" ht="15.75" x14ac:dyDescent="0.25">
      <c r="A16" s="10"/>
      <c r="B16" s="3"/>
      <c r="C16" s="3"/>
      <c r="D16" s="3"/>
      <c r="E16" s="3"/>
      <c r="F16" s="34"/>
      <c r="G16" s="34"/>
      <c r="H16" s="34"/>
      <c r="I16" s="34"/>
      <c r="J16" s="34"/>
      <c r="K16" s="34"/>
      <c r="L16" s="34"/>
      <c r="M16" s="34"/>
      <c r="N16" s="34"/>
      <c r="O16" s="34"/>
    </row>
    <row r="17" spans="1:15" ht="15.75" x14ac:dyDescent="0.25">
      <c r="A17" s="31" t="s">
        <v>101</v>
      </c>
      <c r="B17" s="3"/>
      <c r="C17" s="3"/>
      <c r="D17" s="3"/>
      <c r="E17" s="3"/>
      <c r="F17" s="34"/>
      <c r="G17" s="34"/>
      <c r="H17" s="34"/>
      <c r="I17" s="76"/>
      <c r="J17" s="34"/>
      <c r="K17" s="34"/>
      <c r="L17" s="34"/>
      <c r="M17" s="34"/>
      <c r="N17" s="34"/>
      <c r="O17" s="34"/>
    </row>
    <row r="18" spans="1:15" ht="15.75" x14ac:dyDescent="0.25">
      <c r="A18" s="31" t="s">
        <v>102</v>
      </c>
      <c r="B18" s="3"/>
      <c r="C18" s="3"/>
      <c r="D18" s="3"/>
      <c r="E18" s="3"/>
      <c r="F18" s="34"/>
      <c r="G18" s="34"/>
      <c r="H18" s="34"/>
      <c r="I18" s="76"/>
      <c r="J18" s="34"/>
      <c r="K18" s="34"/>
      <c r="L18" s="34"/>
      <c r="M18" s="34"/>
      <c r="N18" s="34"/>
      <c r="O18" s="34"/>
    </row>
    <row r="19" spans="1:15" ht="15.75" x14ac:dyDescent="0.25">
      <c r="A19" s="32" t="s">
        <v>103</v>
      </c>
      <c r="B19" s="3"/>
      <c r="C19" s="3"/>
      <c r="D19" s="3"/>
      <c r="E19" s="3"/>
      <c r="F19" s="34">
        <v>0</v>
      </c>
      <c r="G19" s="34"/>
      <c r="H19" s="34"/>
      <c r="I19" s="76"/>
      <c r="J19" s="34"/>
      <c r="K19" s="34"/>
      <c r="L19" s="34"/>
      <c r="M19" s="34"/>
      <c r="N19" s="34"/>
      <c r="O19" s="34"/>
    </row>
    <row r="20" spans="1:15" ht="15.75" x14ac:dyDescent="0.25">
      <c r="A20" s="32" t="s">
        <v>104</v>
      </c>
      <c r="B20" s="3"/>
      <c r="C20" s="3"/>
      <c r="D20" s="3"/>
      <c r="E20" s="3"/>
      <c r="F20" s="34">
        <v>0</v>
      </c>
      <c r="G20" s="34"/>
      <c r="H20" s="34"/>
      <c r="I20" s="76"/>
      <c r="J20" s="34"/>
      <c r="K20" s="34"/>
      <c r="L20" s="34"/>
      <c r="M20" s="34"/>
      <c r="N20" s="34"/>
      <c r="O20" s="34"/>
    </row>
    <row r="21" spans="1:15" ht="15.75" x14ac:dyDescent="0.25">
      <c r="A21" s="32" t="s">
        <v>105</v>
      </c>
      <c r="B21" s="3"/>
      <c r="C21" s="3"/>
      <c r="D21" s="3"/>
      <c r="E21" s="3"/>
      <c r="F21" s="34">
        <v>0</v>
      </c>
      <c r="G21" s="34"/>
      <c r="H21" s="34"/>
      <c r="I21" s="76"/>
      <c r="J21" s="34"/>
      <c r="K21" s="34"/>
      <c r="L21" s="34"/>
      <c r="M21" s="34"/>
      <c r="N21" s="34"/>
      <c r="O21" s="34"/>
    </row>
    <row r="22" spans="1:15" ht="15.75" x14ac:dyDescent="0.25">
      <c r="A22" s="32" t="s">
        <v>106</v>
      </c>
      <c r="B22" s="3"/>
      <c r="C22" s="3"/>
      <c r="D22" s="3"/>
      <c r="E22" s="3"/>
      <c r="F22" s="34"/>
      <c r="G22" s="34"/>
      <c r="H22" s="34"/>
      <c r="I22" s="76"/>
      <c r="J22" s="34"/>
      <c r="K22" s="34"/>
      <c r="L22" s="34"/>
      <c r="M22" s="34"/>
      <c r="N22" s="34"/>
      <c r="O22" s="34"/>
    </row>
    <row r="23" spans="1:15" ht="15.75" x14ac:dyDescent="0.25">
      <c r="A23" s="32" t="s">
        <v>107</v>
      </c>
      <c r="B23" s="3"/>
      <c r="C23" s="3"/>
      <c r="D23" s="3"/>
      <c r="E23" s="3"/>
      <c r="F23" s="34"/>
      <c r="G23" s="34"/>
      <c r="H23" s="34"/>
      <c r="I23" s="76"/>
      <c r="J23" s="34"/>
      <c r="K23" s="34"/>
      <c r="L23" s="34">
        <v>0</v>
      </c>
      <c r="M23" s="34">
        <f>SUM(F23:L23)</f>
        <v>0</v>
      </c>
      <c r="N23" s="34"/>
      <c r="O23" s="34">
        <f>+N23+M23</f>
        <v>0</v>
      </c>
    </row>
    <row r="24" spans="1:15" ht="15.75" x14ac:dyDescent="0.25">
      <c r="A24" s="32" t="s">
        <v>108</v>
      </c>
      <c r="B24" s="3"/>
      <c r="C24" s="3"/>
      <c r="D24" s="3"/>
      <c r="E24" s="3"/>
      <c r="F24" s="34"/>
      <c r="G24" s="34"/>
      <c r="H24" s="34"/>
      <c r="I24" s="76"/>
      <c r="J24" s="34"/>
      <c r="K24" s="34"/>
      <c r="L24" s="34"/>
      <c r="M24" s="34"/>
      <c r="N24" s="34"/>
      <c r="O24" s="34"/>
    </row>
    <row r="25" spans="1:15" ht="15.75" x14ac:dyDescent="0.25">
      <c r="A25" s="32" t="s">
        <v>109</v>
      </c>
      <c r="B25" s="3"/>
      <c r="C25" s="3"/>
      <c r="D25" s="3"/>
      <c r="E25" s="3"/>
      <c r="F25" s="34"/>
      <c r="G25" s="34"/>
      <c r="H25" s="34"/>
      <c r="I25" s="76"/>
      <c r="J25" s="34"/>
      <c r="K25" s="34"/>
      <c r="L25" s="34"/>
      <c r="M25" s="34"/>
      <c r="N25" s="34"/>
      <c r="O25" s="34"/>
    </row>
    <row r="26" spans="1:15" ht="15.75" x14ac:dyDescent="0.25">
      <c r="A26" s="32" t="s">
        <v>110</v>
      </c>
      <c r="B26" s="3"/>
      <c r="C26" s="3"/>
      <c r="D26" s="3"/>
      <c r="E26" s="3"/>
      <c r="F26" s="34"/>
      <c r="G26" s="34"/>
      <c r="H26" s="34"/>
      <c r="I26" s="76"/>
      <c r="J26" s="34"/>
      <c r="K26" s="34"/>
      <c r="L26" s="34"/>
      <c r="M26" s="34"/>
      <c r="N26" s="34"/>
      <c r="O26" s="34"/>
    </row>
    <row r="27" spans="1:15" ht="15.75" x14ac:dyDescent="0.25">
      <c r="A27" s="32" t="s">
        <v>111</v>
      </c>
      <c r="B27" s="3"/>
      <c r="C27" s="3"/>
      <c r="D27" s="3"/>
      <c r="E27" s="3"/>
      <c r="F27" s="34"/>
      <c r="G27" s="34"/>
      <c r="H27" s="34"/>
      <c r="I27" s="76"/>
      <c r="J27" s="34"/>
      <c r="K27" s="34"/>
      <c r="L27" s="34"/>
      <c r="M27" s="34"/>
      <c r="N27" s="34"/>
      <c r="O27" s="34"/>
    </row>
    <row r="28" spans="1:15" ht="15.75" x14ac:dyDescent="0.25">
      <c r="A28" s="11" t="s">
        <v>112</v>
      </c>
      <c r="B28" s="3"/>
      <c r="C28" s="3"/>
      <c r="D28" s="3"/>
      <c r="E28" s="3"/>
      <c r="F28" s="86"/>
      <c r="G28" s="86"/>
      <c r="H28" s="86"/>
      <c r="I28" s="87"/>
      <c r="J28" s="86"/>
      <c r="K28" s="86"/>
      <c r="L28" s="86"/>
      <c r="M28" s="86">
        <f>+K28+L28</f>
        <v>0</v>
      </c>
      <c r="N28" s="86"/>
      <c r="O28" s="86">
        <f>+N28+M28</f>
        <v>0</v>
      </c>
    </row>
    <row r="29" spans="1:15" ht="15.75" x14ac:dyDescent="0.25">
      <c r="A29" s="31" t="s">
        <v>113</v>
      </c>
      <c r="B29" s="32"/>
      <c r="C29" s="32"/>
      <c r="D29" s="32"/>
      <c r="E29" s="32"/>
      <c r="F29" s="34"/>
      <c r="G29" s="34"/>
      <c r="H29" s="34"/>
      <c r="I29" s="34"/>
      <c r="J29" s="34"/>
      <c r="K29" s="34"/>
      <c r="L29" s="34"/>
      <c r="M29" s="34"/>
      <c r="N29" s="34"/>
      <c r="O29" s="34"/>
    </row>
    <row r="30" spans="1:15" ht="15.75" x14ac:dyDescent="0.25">
      <c r="A30" s="31" t="s">
        <v>340</v>
      </c>
      <c r="B30" s="32"/>
      <c r="C30" s="32"/>
      <c r="D30" s="32"/>
      <c r="E30" s="32"/>
      <c r="F30" s="35">
        <f>+F15</f>
        <v>0</v>
      </c>
      <c r="G30" s="35">
        <f>+G15</f>
        <v>0</v>
      </c>
      <c r="H30" s="35">
        <f>SUM(H15:H29)</f>
        <v>2288494</v>
      </c>
      <c r="I30" s="35">
        <f t="shared" ref="I30:O30" si="0">SUM(I15:I29)</f>
        <v>269530.74199999997</v>
      </c>
      <c r="J30" s="35">
        <f t="shared" si="0"/>
        <v>83587.104000000007</v>
      </c>
      <c r="K30" s="35">
        <f>SUM(K15:K29)</f>
        <v>5481068.1000000006</v>
      </c>
      <c r="L30" s="35">
        <f t="shared" si="0"/>
        <v>344423.68300000002</v>
      </c>
      <c r="M30" s="35">
        <f>SUM(M15:M29)</f>
        <v>8467103.6290000007</v>
      </c>
      <c r="N30" s="35">
        <f t="shared" si="0"/>
        <v>0</v>
      </c>
      <c r="O30" s="35">
        <f t="shared" si="0"/>
        <v>8467103.6290000007</v>
      </c>
    </row>
    <row r="31" spans="1:15" s="88" customFormat="1" ht="15.75" x14ac:dyDescent="0.25">
      <c r="A31" s="72"/>
      <c r="B31" s="73"/>
      <c r="C31" s="73"/>
      <c r="D31" s="73"/>
      <c r="E31" s="73"/>
      <c r="F31" s="108"/>
      <c r="G31" s="108"/>
      <c r="H31" s="108"/>
      <c r="I31" s="108"/>
      <c r="J31" s="108"/>
      <c r="K31" s="108"/>
      <c r="L31" s="108"/>
      <c r="M31" s="108"/>
      <c r="N31" s="108"/>
      <c r="O31" s="108"/>
    </row>
    <row r="32" spans="1:15" s="88" customFormat="1" ht="15.75" x14ac:dyDescent="0.25">
      <c r="A32" s="72"/>
      <c r="B32" s="73"/>
      <c r="C32" s="73"/>
      <c r="D32" s="73"/>
      <c r="E32" s="73"/>
      <c r="F32" s="108"/>
      <c r="G32" s="108"/>
      <c r="H32" s="108"/>
      <c r="I32" s="108"/>
      <c r="J32" s="108"/>
      <c r="K32" s="108"/>
      <c r="L32" s="108"/>
      <c r="M32" s="108"/>
      <c r="N32" s="108"/>
      <c r="O32" s="108"/>
    </row>
    <row r="33" spans="1:15" s="88" customFormat="1" x14ac:dyDescent="0.25">
      <c r="F33" s="89"/>
      <c r="G33" s="89"/>
      <c r="H33" s="89"/>
      <c r="I33" s="89"/>
      <c r="J33" s="89"/>
      <c r="K33" s="89"/>
      <c r="L33" s="89"/>
      <c r="M33" s="89"/>
      <c r="N33" s="89"/>
      <c r="O33" s="89"/>
    </row>
    <row r="34" spans="1:15" ht="15.75" x14ac:dyDescent="0.25">
      <c r="A34" s="312" t="s">
        <v>184</v>
      </c>
      <c r="B34" s="77"/>
      <c r="C34" s="77"/>
      <c r="D34" s="77"/>
      <c r="E34" s="77"/>
      <c r="F34" s="77"/>
      <c r="G34" s="77"/>
      <c r="H34" s="77"/>
      <c r="I34" s="77"/>
      <c r="J34" s="77"/>
      <c r="K34" s="77"/>
      <c r="L34" s="77"/>
      <c r="M34" s="77"/>
      <c r="N34" s="77"/>
      <c r="O34" s="235"/>
    </row>
    <row r="35" spans="1:15" ht="22.5" customHeight="1" x14ac:dyDescent="0.25">
      <c r="A35" s="313"/>
      <c r="B35" s="38"/>
      <c r="C35" s="38"/>
      <c r="D35" s="38"/>
      <c r="E35" s="38"/>
      <c r="F35" s="38"/>
      <c r="G35" s="38"/>
      <c r="H35" s="38"/>
      <c r="I35" s="38"/>
      <c r="J35" s="38"/>
      <c r="K35" s="38"/>
      <c r="L35" s="38"/>
      <c r="M35" s="38"/>
      <c r="N35" s="38"/>
      <c r="O35" s="225"/>
    </row>
    <row r="36" spans="1:15" ht="15.75" x14ac:dyDescent="0.25">
      <c r="A36" s="71"/>
      <c r="B36" s="8"/>
      <c r="C36" s="8"/>
      <c r="D36" s="8"/>
      <c r="E36" s="8"/>
      <c r="F36" s="306" t="s">
        <v>114</v>
      </c>
      <c r="G36" s="307"/>
      <c r="H36" s="308"/>
      <c r="I36" s="306" t="s">
        <v>123</v>
      </c>
      <c r="J36" s="307"/>
      <c r="K36" s="308"/>
      <c r="L36" s="83"/>
      <c r="M36" s="80"/>
      <c r="N36" s="84"/>
      <c r="O36" s="80"/>
    </row>
    <row r="37" spans="1:15" ht="31.5" x14ac:dyDescent="0.25">
      <c r="A37" s="238" t="s">
        <v>329</v>
      </c>
      <c r="B37" s="9"/>
      <c r="C37" s="9"/>
      <c r="D37" s="9"/>
      <c r="E37" s="9"/>
      <c r="F37" s="80" t="s">
        <v>115</v>
      </c>
      <c r="G37" s="80" t="s">
        <v>115</v>
      </c>
      <c r="H37" s="80" t="s">
        <v>119</v>
      </c>
      <c r="I37" s="81" t="s">
        <v>121</v>
      </c>
      <c r="J37" s="81" t="s">
        <v>124</v>
      </c>
      <c r="K37" s="81" t="s">
        <v>126</v>
      </c>
      <c r="L37" s="81" t="s">
        <v>128</v>
      </c>
      <c r="M37" s="81" t="s">
        <v>130</v>
      </c>
      <c r="N37" s="85" t="s">
        <v>245</v>
      </c>
      <c r="O37" s="81" t="s">
        <v>91</v>
      </c>
    </row>
    <row r="38" spans="1:15" ht="15.75" x14ac:dyDescent="0.25">
      <c r="A38" s="73"/>
      <c r="B38" s="9"/>
      <c r="C38" s="9"/>
      <c r="D38" s="9"/>
      <c r="E38" s="9"/>
      <c r="F38" s="81" t="s">
        <v>116</v>
      </c>
      <c r="G38" s="81" t="s">
        <v>118</v>
      </c>
      <c r="H38" s="81" t="s">
        <v>120</v>
      </c>
      <c r="I38" s="81" t="s">
        <v>122</v>
      </c>
      <c r="J38" s="81" t="s">
        <v>125</v>
      </c>
      <c r="K38" s="81" t="s">
        <v>127</v>
      </c>
      <c r="L38" s="81" t="s">
        <v>129</v>
      </c>
      <c r="M38" s="81"/>
      <c r="N38" s="81" t="s">
        <v>131</v>
      </c>
      <c r="O38" s="81"/>
    </row>
    <row r="39" spans="1:15" ht="15.75" x14ac:dyDescent="0.25">
      <c r="A39" s="38"/>
      <c r="B39" s="5"/>
      <c r="C39" s="5"/>
      <c r="D39" s="5"/>
      <c r="E39" s="5"/>
      <c r="F39" s="82" t="s">
        <v>117</v>
      </c>
      <c r="G39" s="82" t="s">
        <v>117</v>
      </c>
      <c r="H39" s="82"/>
      <c r="I39" s="82"/>
      <c r="J39" s="82"/>
      <c r="K39" s="82"/>
      <c r="L39" s="82"/>
      <c r="M39" s="82"/>
      <c r="N39" s="82"/>
      <c r="O39" s="82"/>
    </row>
    <row r="40" spans="1:15" s="14" customFormat="1" ht="15.75" x14ac:dyDescent="0.25">
      <c r="A40" s="31" t="s">
        <v>328</v>
      </c>
      <c r="B40" s="31"/>
      <c r="C40" s="31"/>
      <c r="D40" s="31"/>
      <c r="E40" s="31"/>
      <c r="F40" s="187">
        <v>24547289</v>
      </c>
      <c r="G40" s="187">
        <v>0</v>
      </c>
      <c r="H40" s="187">
        <v>0</v>
      </c>
      <c r="I40" s="187">
        <v>29621187</v>
      </c>
      <c r="J40" s="187">
        <v>21654378</v>
      </c>
      <c r="K40" s="187">
        <v>-69789449</v>
      </c>
      <c r="L40" s="187">
        <f>76500621+41545061+13366390</f>
        <v>131412072</v>
      </c>
      <c r="M40" s="187">
        <f>SUM(F40:L40)</f>
        <v>137445477</v>
      </c>
      <c r="N40" s="187">
        <v>0</v>
      </c>
      <c r="O40" s="187">
        <f>+M40+N40</f>
        <v>137445477</v>
      </c>
    </row>
    <row r="41" spans="1:15" s="14" customFormat="1" ht="15.75" x14ac:dyDescent="0.25">
      <c r="A41" s="31" t="s">
        <v>98</v>
      </c>
      <c r="B41" s="31"/>
      <c r="C41" s="31"/>
      <c r="D41" s="31"/>
      <c r="E41" s="31"/>
      <c r="F41" s="187"/>
      <c r="G41" s="187"/>
      <c r="H41" s="187"/>
      <c r="I41" s="187"/>
      <c r="J41" s="187"/>
      <c r="K41" s="187"/>
      <c r="L41" s="187"/>
      <c r="M41" s="187"/>
      <c r="N41" s="187"/>
      <c r="O41" s="187"/>
    </row>
    <row r="42" spans="1:15" ht="15.75" x14ac:dyDescent="0.25">
      <c r="A42" s="32"/>
      <c r="B42" s="32"/>
      <c r="C42" s="32"/>
      <c r="D42" s="32"/>
      <c r="E42" s="32"/>
      <c r="F42" s="168"/>
      <c r="G42" s="168"/>
      <c r="H42" s="168"/>
      <c r="I42" s="168"/>
      <c r="J42" s="168"/>
      <c r="K42" s="168"/>
      <c r="L42" s="168"/>
      <c r="M42" s="187">
        <f>SUM(F42:L42)</f>
        <v>0</v>
      </c>
      <c r="N42" s="168"/>
      <c r="O42" s="168">
        <f>+N42+M42</f>
        <v>0</v>
      </c>
    </row>
    <row r="43" spans="1:15" ht="15.75" x14ac:dyDescent="0.25">
      <c r="A43" s="32" t="s">
        <v>99</v>
      </c>
      <c r="B43" s="32"/>
      <c r="C43" s="32"/>
      <c r="D43" s="32"/>
      <c r="E43" s="32"/>
      <c r="F43" s="168">
        <v>0</v>
      </c>
      <c r="G43" s="168">
        <v>0</v>
      </c>
      <c r="H43" s="168">
        <v>0</v>
      </c>
      <c r="I43" s="168">
        <v>0</v>
      </c>
      <c r="J43" s="168">
        <v>0</v>
      </c>
      <c r="K43" s="168">
        <v>-26927617</v>
      </c>
      <c r="L43" s="168">
        <v>0</v>
      </c>
      <c r="M43" s="187">
        <f>SUM(F43:L43)</f>
        <v>-26927617</v>
      </c>
      <c r="N43" s="168"/>
      <c r="O43" s="168">
        <f>+N43+M43</f>
        <v>-26927617</v>
      </c>
    </row>
    <row r="44" spans="1:15" ht="15.75" x14ac:dyDescent="0.25">
      <c r="A44" s="32" t="s">
        <v>100</v>
      </c>
      <c r="B44" s="32"/>
      <c r="C44" s="32"/>
      <c r="D44" s="32"/>
      <c r="E44" s="32"/>
      <c r="F44" s="168">
        <v>0</v>
      </c>
      <c r="G44" s="168">
        <v>0</v>
      </c>
      <c r="H44" s="168">
        <v>0</v>
      </c>
      <c r="I44" s="168">
        <v>0</v>
      </c>
      <c r="J44" s="168">
        <v>0</v>
      </c>
      <c r="K44" s="168">
        <v>0</v>
      </c>
      <c r="L44" s="168">
        <v>0</v>
      </c>
      <c r="M44" s="187">
        <f>SUM(F44:L44)</f>
        <v>0</v>
      </c>
      <c r="N44" s="168"/>
      <c r="O44" s="168">
        <f>+N44+M44</f>
        <v>0</v>
      </c>
    </row>
    <row r="45" spans="1:15" s="14" customFormat="1" ht="15.75" x14ac:dyDescent="0.25">
      <c r="A45" s="31" t="s">
        <v>98</v>
      </c>
      <c r="B45" s="31"/>
      <c r="C45" s="31"/>
      <c r="D45" s="31"/>
      <c r="E45" s="31"/>
      <c r="F45" s="187">
        <f>F40</f>
        <v>24547289</v>
      </c>
      <c r="G45" s="187">
        <f>+G41+G43+G44</f>
        <v>0</v>
      </c>
      <c r="H45" s="187">
        <f>+H41+H43+H44</f>
        <v>0</v>
      </c>
      <c r="I45" s="187">
        <f>I40</f>
        <v>29621187</v>
      </c>
      <c r="J45" s="187">
        <f>J40</f>
        <v>21654378</v>
      </c>
      <c r="K45" s="187">
        <f>SUM(K40:K44)</f>
        <v>-96717066</v>
      </c>
      <c r="L45" s="187">
        <f>L40</f>
        <v>131412072</v>
      </c>
      <c r="M45" s="187">
        <f>SUM(F45:L45)</f>
        <v>110517860</v>
      </c>
      <c r="N45" s="187">
        <f>+N41+N43+N44</f>
        <v>0</v>
      </c>
      <c r="O45" s="187">
        <f>+N45+M45</f>
        <v>110517860</v>
      </c>
    </row>
    <row r="46" spans="1:15" ht="15.75" x14ac:dyDescent="0.25">
      <c r="A46" s="32"/>
      <c r="B46" s="32"/>
      <c r="C46" s="32"/>
      <c r="D46" s="32"/>
      <c r="E46" s="32"/>
      <c r="F46" s="168"/>
      <c r="G46" s="168"/>
      <c r="H46" s="168"/>
      <c r="I46" s="168"/>
      <c r="J46" s="168"/>
      <c r="K46" s="168"/>
      <c r="L46" s="168"/>
      <c r="M46" s="168"/>
      <c r="N46" s="168"/>
      <c r="O46" s="168"/>
    </row>
    <row r="47" spans="1:15" s="14" customFormat="1" ht="15.75" x14ac:dyDescent="0.25">
      <c r="A47" s="31" t="s">
        <v>101</v>
      </c>
      <c r="B47" s="31"/>
      <c r="C47" s="31"/>
      <c r="D47" s="31"/>
      <c r="E47" s="31"/>
      <c r="F47" s="187"/>
      <c r="G47" s="187"/>
      <c r="H47" s="187"/>
      <c r="I47" s="187"/>
      <c r="J47" s="187"/>
      <c r="K47" s="187"/>
      <c r="L47" s="187"/>
      <c r="M47" s="187"/>
      <c r="N47" s="187"/>
      <c r="O47" s="187"/>
    </row>
    <row r="48" spans="1:15" s="14" customFormat="1" ht="15.75" x14ac:dyDescent="0.25">
      <c r="A48" s="31" t="s">
        <v>102</v>
      </c>
      <c r="B48" s="31"/>
      <c r="C48" s="31"/>
      <c r="D48" s="31"/>
      <c r="E48" s="31"/>
      <c r="F48" s="187"/>
      <c r="G48" s="187"/>
      <c r="H48" s="187"/>
      <c r="I48" s="187"/>
      <c r="J48" s="187"/>
      <c r="K48" s="187"/>
      <c r="L48" s="187"/>
      <c r="M48" s="187"/>
      <c r="N48" s="187"/>
      <c r="O48" s="187"/>
    </row>
    <row r="49" spans="1:16" ht="15.75" x14ac:dyDescent="0.25">
      <c r="A49" s="32" t="s">
        <v>103</v>
      </c>
      <c r="B49" s="32"/>
      <c r="C49" s="32"/>
      <c r="D49" s="32"/>
      <c r="E49" s="32"/>
      <c r="F49" s="168">
        <v>3978300</v>
      </c>
      <c r="G49" s="168">
        <v>0</v>
      </c>
      <c r="H49" s="168">
        <v>0</v>
      </c>
      <c r="I49" s="168">
        <v>0</v>
      </c>
      <c r="J49" s="168">
        <v>0</v>
      </c>
      <c r="K49" s="168">
        <v>0</v>
      </c>
      <c r="L49" s="168">
        <v>7021700</v>
      </c>
      <c r="M49" s="187">
        <f>SUM(F49:L49)</f>
        <v>11000000</v>
      </c>
      <c r="N49" s="168"/>
      <c r="O49" s="187">
        <f>+N49+M49</f>
        <v>11000000</v>
      </c>
    </row>
    <row r="50" spans="1:16" s="15" customFormat="1" ht="15.75" x14ac:dyDescent="0.25">
      <c r="A50" s="32" t="s">
        <v>104</v>
      </c>
      <c r="B50" s="32"/>
      <c r="C50" s="32"/>
      <c r="D50" s="32"/>
      <c r="E50" s="32"/>
      <c r="F50" s="168">
        <v>0</v>
      </c>
      <c r="G50" s="168">
        <v>0</v>
      </c>
      <c r="H50" s="168">
        <v>0</v>
      </c>
      <c r="I50" s="168">
        <v>0</v>
      </c>
      <c r="J50" s="168">
        <v>0</v>
      </c>
      <c r="K50" s="168">
        <v>0</v>
      </c>
      <c r="L50" s="168">
        <v>0</v>
      </c>
      <c r="M50" s="187">
        <f t="shared" ref="M50:M58" si="1">SUM(F50:L50)</f>
        <v>0</v>
      </c>
      <c r="N50" s="168"/>
      <c r="O50" s="187">
        <f t="shared" ref="O50:O58" si="2">+N50+M50</f>
        <v>0</v>
      </c>
    </row>
    <row r="51" spans="1:16" ht="15.75" x14ac:dyDescent="0.25">
      <c r="A51" s="32" t="s">
        <v>105</v>
      </c>
      <c r="B51" s="32"/>
      <c r="C51" s="32"/>
      <c r="D51" s="32"/>
      <c r="E51" s="32"/>
      <c r="F51" s="168">
        <v>0</v>
      </c>
      <c r="G51" s="168">
        <v>0</v>
      </c>
      <c r="H51" s="168">
        <v>0</v>
      </c>
      <c r="I51" s="168">
        <v>0</v>
      </c>
      <c r="J51" s="168">
        <v>0</v>
      </c>
      <c r="K51" s="168">
        <v>0</v>
      </c>
      <c r="L51" s="168">
        <v>0</v>
      </c>
      <c r="M51" s="187">
        <f t="shared" si="1"/>
        <v>0</v>
      </c>
      <c r="N51" s="168"/>
      <c r="O51" s="187">
        <f t="shared" si="2"/>
        <v>0</v>
      </c>
    </row>
    <row r="52" spans="1:16" ht="15.75" x14ac:dyDescent="0.25">
      <c r="A52" s="32" t="s">
        <v>106</v>
      </c>
      <c r="B52" s="32"/>
      <c r="C52" s="32"/>
      <c r="D52" s="32"/>
      <c r="E52" s="32"/>
      <c r="F52" s="168">
        <v>0</v>
      </c>
      <c r="G52" s="168">
        <v>0</v>
      </c>
      <c r="H52" s="168">
        <v>0</v>
      </c>
      <c r="I52" s="168">
        <v>0</v>
      </c>
      <c r="J52" s="168">
        <v>0</v>
      </c>
      <c r="K52" s="168">
        <v>0</v>
      </c>
      <c r="L52" s="168">
        <v>0</v>
      </c>
      <c r="M52" s="187">
        <f t="shared" si="1"/>
        <v>0</v>
      </c>
      <c r="N52" s="168"/>
      <c r="O52" s="187">
        <f t="shared" si="2"/>
        <v>0</v>
      </c>
    </row>
    <row r="53" spans="1:16" ht="15.75" x14ac:dyDescent="0.25">
      <c r="A53" s="32" t="s">
        <v>107</v>
      </c>
      <c r="B53" s="32"/>
      <c r="C53" s="32"/>
      <c r="D53" s="32"/>
      <c r="E53" s="32"/>
      <c r="F53" s="168">
        <v>0</v>
      </c>
      <c r="G53" s="168">
        <v>0</v>
      </c>
      <c r="H53" s="168">
        <v>0</v>
      </c>
      <c r="I53" s="168">
        <v>0</v>
      </c>
      <c r="J53" s="168">
        <v>0</v>
      </c>
      <c r="K53" s="168">
        <v>0</v>
      </c>
      <c r="L53" s="168">
        <v>-206</v>
      </c>
      <c r="M53" s="187">
        <f t="shared" si="1"/>
        <v>-206</v>
      </c>
      <c r="N53" s="168"/>
      <c r="O53" s="187">
        <f t="shared" si="2"/>
        <v>-206</v>
      </c>
    </row>
    <row r="54" spans="1:16" ht="15.75" x14ac:dyDescent="0.25">
      <c r="A54" s="32" t="s">
        <v>108</v>
      </c>
      <c r="B54" s="32"/>
      <c r="C54" s="32"/>
      <c r="D54" s="32"/>
      <c r="E54" s="32"/>
      <c r="F54" s="168">
        <v>0</v>
      </c>
      <c r="G54" s="168">
        <v>0</v>
      </c>
      <c r="H54" s="168">
        <v>0</v>
      </c>
      <c r="I54" s="168">
        <v>0</v>
      </c>
      <c r="J54" s="168">
        <v>0</v>
      </c>
      <c r="K54" s="168">
        <v>0</v>
      </c>
      <c r="L54" s="168">
        <v>0</v>
      </c>
      <c r="M54" s="187">
        <f t="shared" si="1"/>
        <v>0</v>
      </c>
      <c r="N54" s="168"/>
      <c r="O54" s="187">
        <f t="shared" si="2"/>
        <v>0</v>
      </c>
    </row>
    <row r="55" spans="1:16" ht="15.75" x14ac:dyDescent="0.25">
      <c r="A55" s="32" t="s">
        <v>109</v>
      </c>
      <c r="B55" s="32"/>
      <c r="C55" s="32"/>
      <c r="D55" s="32"/>
      <c r="E55" s="32"/>
      <c r="F55" s="168">
        <v>0</v>
      </c>
      <c r="G55" s="168">
        <v>0</v>
      </c>
      <c r="H55" s="168">
        <v>0</v>
      </c>
      <c r="I55" s="168">
        <v>0</v>
      </c>
      <c r="J55" s="168">
        <v>0</v>
      </c>
      <c r="K55" s="168">
        <v>0</v>
      </c>
      <c r="L55" s="168">
        <v>0</v>
      </c>
      <c r="M55" s="187">
        <f t="shared" si="1"/>
        <v>0</v>
      </c>
      <c r="N55" s="168"/>
      <c r="O55" s="187">
        <f t="shared" si="2"/>
        <v>0</v>
      </c>
    </row>
    <row r="56" spans="1:16" ht="15.75" x14ac:dyDescent="0.25">
      <c r="A56" s="32" t="s">
        <v>110</v>
      </c>
      <c r="B56" s="32"/>
      <c r="C56" s="32"/>
      <c r="D56" s="32"/>
      <c r="E56" s="32"/>
      <c r="F56" s="168">
        <v>0</v>
      </c>
      <c r="G56" s="168">
        <v>0</v>
      </c>
      <c r="H56" s="168">
        <v>0</v>
      </c>
      <c r="I56" s="168">
        <v>0</v>
      </c>
      <c r="J56" s="168">
        <v>0</v>
      </c>
      <c r="K56" s="168">
        <v>0</v>
      </c>
      <c r="L56" s="168">
        <v>0</v>
      </c>
      <c r="M56" s="187">
        <f t="shared" si="1"/>
        <v>0</v>
      </c>
      <c r="N56" s="168"/>
      <c r="O56" s="187">
        <f t="shared" si="2"/>
        <v>0</v>
      </c>
    </row>
    <row r="57" spans="1:16" ht="15.75" x14ac:dyDescent="0.25">
      <c r="A57" s="32" t="s">
        <v>111</v>
      </c>
      <c r="B57" s="32"/>
      <c r="C57" s="32"/>
      <c r="D57" s="32"/>
      <c r="E57" s="32"/>
      <c r="F57" s="168">
        <v>0</v>
      </c>
      <c r="G57" s="168">
        <v>0</v>
      </c>
      <c r="H57" s="168">
        <v>0</v>
      </c>
      <c r="I57" s="168">
        <v>0</v>
      </c>
      <c r="J57" s="168">
        <v>0</v>
      </c>
      <c r="K57" s="168">
        <v>0</v>
      </c>
      <c r="L57" s="168">
        <v>0</v>
      </c>
      <c r="M57" s="187">
        <f t="shared" si="1"/>
        <v>0</v>
      </c>
      <c r="N57" s="168"/>
      <c r="O57" s="187">
        <f t="shared" si="2"/>
        <v>0</v>
      </c>
    </row>
    <row r="58" spans="1:16" ht="15.75" x14ac:dyDescent="0.25">
      <c r="A58" s="32" t="s">
        <v>112</v>
      </c>
      <c r="B58" s="32"/>
      <c r="C58" s="32"/>
      <c r="D58" s="32"/>
      <c r="E58" s="32"/>
      <c r="F58" s="168">
        <v>0</v>
      </c>
      <c r="G58" s="168">
        <v>0</v>
      </c>
      <c r="H58" s="168">
        <v>0</v>
      </c>
      <c r="I58" s="168">
        <v>0</v>
      </c>
      <c r="J58" s="168">
        <v>-568695</v>
      </c>
      <c r="K58" s="168">
        <v>0</v>
      </c>
      <c r="L58" s="168">
        <v>412419</v>
      </c>
      <c r="M58" s="187">
        <f t="shared" si="1"/>
        <v>-156276</v>
      </c>
      <c r="N58" s="168"/>
      <c r="O58" s="187">
        <f t="shared" si="2"/>
        <v>-156276</v>
      </c>
    </row>
    <row r="59" spans="1:16" s="14" customFormat="1" ht="15.75" x14ac:dyDescent="0.25">
      <c r="A59" s="31" t="s">
        <v>113</v>
      </c>
      <c r="B59" s="31"/>
      <c r="C59" s="31"/>
      <c r="D59" s="31"/>
      <c r="E59" s="31"/>
      <c r="F59" s="187">
        <f>SUM(F49:F58)</f>
        <v>3978300</v>
      </c>
      <c r="G59" s="187">
        <f t="shared" ref="G59:N59" si="3">SUM(G49:G58)</f>
        <v>0</v>
      </c>
      <c r="H59" s="187">
        <f t="shared" si="3"/>
        <v>0</v>
      </c>
      <c r="I59" s="187">
        <f t="shared" si="3"/>
        <v>0</v>
      </c>
      <c r="J59" s="187">
        <f>SUM(J49:J58)</f>
        <v>-568695</v>
      </c>
      <c r="K59" s="187">
        <f t="shared" si="3"/>
        <v>0</v>
      </c>
      <c r="L59" s="187">
        <f t="shared" si="3"/>
        <v>7433913</v>
      </c>
      <c r="M59" s="187">
        <f>SUM(M49:M58)</f>
        <v>10843518</v>
      </c>
      <c r="N59" s="187">
        <f t="shared" si="3"/>
        <v>0</v>
      </c>
      <c r="O59" s="187">
        <f>SUM(O49:O58)</f>
        <v>10843518</v>
      </c>
      <c r="P59" s="24"/>
    </row>
    <row r="60" spans="1:16" s="14" customFormat="1" ht="15.75" x14ac:dyDescent="0.25">
      <c r="A60" s="31" t="s">
        <v>340</v>
      </c>
      <c r="B60" s="31"/>
      <c r="C60" s="31"/>
      <c r="D60" s="31"/>
      <c r="E60" s="31"/>
      <c r="F60" s="187">
        <f>+F59+F45</f>
        <v>28525589</v>
      </c>
      <c r="G60" s="187">
        <f>+G45</f>
        <v>0</v>
      </c>
      <c r="H60" s="187">
        <f>+H45</f>
        <v>0</v>
      </c>
      <c r="I60" s="187">
        <f>+I59+I45</f>
        <v>29621187</v>
      </c>
      <c r="J60" s="187">
        <f>+J59+J45</f>
        <v>21085683</v>
      </c>
      <c r="K60" s="187">
        <f>+K59+K45</f>
        <v>-96717066</v>
      </c>
      <c r="L60" s="187">
        <f>+L59+L45</f>
        <v>138845985</v>
      </c>
      <c r="M60" s="187">
        <f>+M59+M45</f>
        <v>121361378</v>
      </c>
      <c r="N60" s="187">
        <f>+N45</f>
        <v>0</v>
      </c>
      <c r="O60" s="187">
        <f>+N60+M60</f>
        <v>121361378</v>
      </c>
    </row>
    <row r="61" spans="1:16" x14ac:dyDescent="0.25">
      <c r="L61" s="169"/>
    </row>
    <row r="62" spans="1:16" x14ac:dyDescent="0.25">
      <c r="L62" s="204"/>
    </row>
    <row r="63" spans="1:16" x14ac:dyDescent="0.25">
      <c r="M63" s="17"/>
    </row>
    <row r="64" spans="1:16" x14ac:dyDescent="0.25">
      <c r="M64" s="17"/>
    </row>
    <row r="65" spans="13:13" x14ac:dyDescent="0.25">
      <c r="M65" s="16"/>
    </row>
    <row r="66" spans="13:13" x14ac:dyDescent="0.25">
      <c r="M66" s="16"/>
    </row>
  </sheetData>
  <mergeCells count="9">
    <mergeCell ref="F36:H36"/>
    <mergeCell ref="A1:O1"/>
    <mergeCell ref="A2:O2"/>
    <mergeCell ref="F6:H6"/>
    <mergeCell ref="A4:O4"/>
    <mergeCell ref="A3:O3"/>
    <mergeCell ref="A34:A35"/>
    <mergeCell ref="I6:K6"/>
    <mergeCell ref="I36:K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zoomScaleNormal="100" zoomScaleSheetLayoutView="100" workbookViewId="0">
      <selection activeCell="F78" sqref="F78:H78"/>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85" t="s">
        <v>39</v>
      </c>
      <c r="B1" s="286"/>
      <c r="C1" s="286"/>
      <c r="D1" s="286"/>
      <c r="E1" s="286"/>
      <c r="F1" s="286"/>
      <c r="G1" s="286"/>
      <c r="H1" s="286"/>
      <c r="I1" s="287"/>
    </row>
    <row r="2" spans="1:9" x14ac:dyDescent="0.25">
      <c r="A2" s="288" t="s">
        <v>228</v>
      </c>
      <c r="B2" s="289"/>
      <c r="C2" s="289"/>
      <c r="D2" s="289"/>
      <c r="E2" s="289"/>
      <c r="F2" s="289"/>
      <c r="G2" s="289"/>
      <c r="H2" s="289"/>
      <c r="I2" s="290"/>
    </row>
    <row r="3" spans="1:9" x14ac:dyDescent="0.25">
      <c r="A3" s="288" t="s">
        <v>339</v>
      </c>
      <c r="B3" s="289"/>
      <c r="C3" s="289"/>
      <c r="D3" s="289"/>
      <c r="E3" s="289"/>
      <c r="F3" s="289"/>
      <c r="G3" s="289"/>
      <c r="H3" s="289"/>
      <c r="I3" s="290"/>
    </row>
    <row r="4" spans="1:9" x14ac:dyDescent="0.25">
      <c r="A4" s="288"/>
      <c r="B4" s="289"/>
      <c r="C4" s="289"/>
      <c r="D4" s="289"/>
      <c r="E4" s="289"/>
      <c r="F4" s="289"/>
      <c r="G4" s="289"/>
      <c r="H4" s="289"/>
      <c r="I4" s="290"/>
    </row>
    <row r="5" spans="1:9" s="158" customFormat="1" x14ac:dyDescent="0.25">
      <c r="A5" s="326" t="s">
        <v>132</v>
      </c>
      <c r="B5" s="327"/>
      <c r="C5" s="327"/>
      <c r="D5" s="327"/>
      <c r="E5" s="327"/>
      <c r="F5" s="327"/>
      <c r="G5" s="327"/>
      <c r="H5" s="327"/>
      <c r="I5" s="328"/>
    </row>
    <row r="6" spans="1:9" x14ac:dyDescent="0.25">
      <c r="A6" s="93" t="s">
        <v>1</v>
      </c>
      <c r="B6" s="90" t="s">
        <v>233</v>
      </c>
      <c r="C6" s="90" t="s">
        <v>150</v>
      </c>
      <c r="D6" s="90" t="s">
        <v>153</v>
      </c>
      <c r="E6" s="90" t="s">
        <v>154</v>
      </c>
      <c r="F6" s="90" t="s">
        <v>156</v>
      </c>
      <c r="G6" s="90" t="s">
        <v>157</v>
      </c>
      <c r="H6" s="90" t="s">
        <v>58</v>
      </c>
      <c r="I6" s="90" t="s">
        <v>130</v>
      </c>
    </row>
    <row r="7" spans="1:9" x14ac:dyDescent="0.25">
      <c r="A7" s="59"/>
      <c r="B7" s="91"/>
      <c r="C7" s="91" t="s">
        <v>151</v>
      </c>
      <c r="D7" s="91"/>
      <c r="E7" s="91" t="s">
        <v>155</v>
      </c>
      <c r="F7" s="91"/>
      <c r="G7" s="91"/>
      <c r="H7" s="91"/>
      <c r="I7" s="91"/>
    </row>
    <row r="8" spans="1:9" x14ac:dyDescent="0.25">
      <c r="A8" s="94"/>
      <c r="B8" s="92"/>
      <c r="C8" s="92" t="s">
        <v>152</v>
      </c>
      <c r="D8" s="92"/>
      <c r="E8" s="92"/>
      <c r="F8" s="92"/>
      <c r="G8" s="92"/>
      <c r="H8" s="92"/>
      <c r="I8" s="92"/>
    </row>
    <row r="9" spans="1:9" x14ac:dyDescent="0.25">
      <c r="A9" s="31" t="s">
        <v>133</v>
      </c>
      <c r="B9" s="32"/>
      <c r="C9" s="32"/>
      <c r="D9" s="32"/>
      <c r="E9" s="32"/>
      <c r="F9" s="32"/>
      <c r="G9" s="32"/>
      <c r="H9" s="32"/>
      <c r="I9" s="32"/>
    </row>
    <row r="10" spans="1:9" x14ac:dyDescent="0.25">
      <c r="A10" s="32" t="s">
        <v>134</v>
      </c>
      <c r="B10" s="34"/>
      <c r="C10" s="34"/>
      <c r="D10" s="34"/>
      <c r="E10" s="34">
        <f>+'FINANCIAL POSITION'!F13</f>
        <v>563567</v>
      </c>
      <c r="F10" s="34"/>
      <c r="G10" s="34"/>
      <c r="H10" s="34"/>
      <c r="I10" s="34">
        <f>SUM(B10:H10)</f>
        <v>563567</v>
      </c>
    </row>
    <row r="11" spans="1:9" x14ac:dyDescent="0.25">
      <c r="A11" s="32" t="s">
        <v>54</v>
      </c>
      <c r="B11" s="34"/>
      <c r="C11" s="34"/>
      <c r="D11" s="34"/>
      <c r="E11" s="34">
        <f>+'FINANCIAL POSITION'!F14</f>
        <v>71575</v>
      </c>
      <c r="F11" s="34"/>
      <c r="G11" s="34"/>
      <c r="H11" s="34"/>
      <c r="I11" s="34">
        <f t="shared" ref="I11:I19" si="0">SUM(B11:H11)</f>
        <v>71575</v>
      </c>
    </row>
    <row r="12" spans="1:9" x14ac:dyDescent="0.25">
      <c r="A12" s="32" t="s">
        <v>55</v>
      </c>
      <c r="B12" s="34"/>
      <c r="C12" s="34"/>
      <c r="D12" s="34"/>
      <c r="E12" s="34">
        <f>+'FINANCIAL POSITION'!F15</f>
        <v>22385287</v>
      </c>
      <c r="F12" s="34"/>
      <c r="G12" s="34"/>
      <c r="H12" s="34"/>
      <c r="I12" s="34">
        <f t="shared" si="0"/>
        <v>22385287</v>
      </c>
    </row>
    <row r="13" spans="1:9" x14ac:dyDescent="0.25">
      <c r="A13" s="32" t="s">
        <v>56</v>
      </c>
      <c r="B13" s="34"/>
      <c r="C13" s="34"/>
      <c r="D13" s="34"/>
      <c r="E13" s="34"/>
      <c r="F13" s="34"/>
      <c r="G13" s="34"/>
      <c r="H13" s="34"/>
      <c r="I13" s="34">
        <f t="shared" si="0"/>
        <v>0</v>
      </c>
    </row>
    <row r="14" spans="1:9" x14ac:dyDescent="0.25">
      <c r="A14" s="32" t="s">
        <v>135</v>
      </c>
      <c r="B14" s="34"/>
      <c r="C14" s="34"/>
      <c r="D14" s="34"/>
      <c r="E14" s="34"/>
      <c r="F14" s="34"/>
      <c r="G14" s="34"/>
      <c r="H14" s="34"/>
      <c r="I14" s="34">
        <f t="shared" si="0"/>
        <v>0</v>
      </c>
    </row>
    <row r="15" spans="1:9" x14ac:dyDescent="0.25">
      <c r="A15" s="32" t="s">
        <v>136</v>
      </c>
      <c r="B15" s="34"/>
      <c r="C15" s="34"/>
      <c r="D15" s="34"/>
      <c r="E15" s="34"/>
      <c r="F15" s="34"/>
      <c r="G15" s="34"/>
      <c r="H15" s="34"/>
      <c r="I15" s="34">
        <f t="shared" si="0"/>
        <v>0</v>
      </c>
    </row>
    <row r="16" spans="1:9" x14ac:dyDescent="0.25">
      <c r="A16" s="32" t="s">
        <v>137</v>
      </c>
      <c r="B16" s="34"/>
      <c r="C16" s="34"/>
      <c r="D16" s="34"/>
      <c r="E16" s="34">
        <f>+'FINANCIAL POSITION'!F20</f>
        <v>128000</v>
      </c>
      <c r="F16" s="34"/>
      <c r="G16" s="34"/>
      <c r="H16" s="34"/>
      <c r="I16" s="34">
        <f t="shared" si="0"/>
        <v>128000</v>
      </c>
    </row>
    <row r="17" spans="1:9" x14ac:dyDescent="0.25">
      <c r="A17" s="32" t="s">
        <v>185</v>
      </c>
      <c r="B17" s="34"/>
      <c r="C17" s="34"/>
      <c r="D17" s="34"/>
      <c r="E17" s="34">
        <f>+'FINANCIAL POSITION'!F21</f>
        <v>13501747</v>
      </c>
      <c r="F17" s="34"/>
      <c r="G17" s="34"/>
      <c r="H17" s="34"/>
      <c r="I17" s="34">
        <f t="shared" si="0"/>
        <v>13501747</v>
      </c>
    </row>
    <row r="18" spans="1:9" x14ac:dyDescent="0.25">
      <c r="A18" s="32" t="s">
        <v>58</v>
      </c>
      <c r="B18" s="34"/>
      <c r="C18" s="34"/>
      <c r="D18" s="34"/>
      <c r="E18" s="34"/>
      <c r="F18" s="34"/>
      <c r="G18" s="34"/>
      <c r="H18" s="34"/>
      <c r="I18" s="34">
        <f t="shared" si="0"/>
        <v>0</v>
      </c>
    </row>
    <row r="19" spans="1:9" x14ac:dyDescent="0.25">
      <c r="A19" s="32" t="s">
        <v>138</v>
      </c>
      <c r="B19" s="34"/>
      <c r="C19" s="34"/>
      <c r="D19" s="34">
        <f>+'FINANCIAL POSITION'!F23</f>
        <v>3979685</v>
      </c>
      <c r="E19" s="34"/>
      <c r="F19" s="34">
        <f>+'FINANCIAL POSITION'!F22</f>
        <v>2040</v>
      </c>
      <c r="G19" s="34"/>
      <c r="H19" s="34"/>
      <c r="I19" s="34">
        <f t="shared" si="0"/>
        <v>3981725</v>
      </c>
    </row>
    <row r="20" spans="1:9" s="2" customFormat="1" x14ac:dyDescent="0.25">
      <c r="A20" s="31" t="s">
        <v>139</v>
      </c>
      <c r="B20" s="35">
        <f>SUM(B10:B19)</f>
        <v>0</v>
      </c>
      <c r="C20" s="35">
        <f>SUM(C10:C19)</f>
        <v>0</v>
      </c>
      <c r="D20" s="35">
        <f>SUM(D10:D19)</f>
        <v>3979685</v>
      </c>
      <c r="E20" s="35">
        <f>SUM(E10:E19)</f>
        <v>36650176</v>
      </c>
      <c r="F20" s="35">
        <f>SUM(F10:F19)</f>
        <v>2040</v>
      </c>
      <c r="G20" s="35">
        <f t="shared" ref="G20:H20" si="1">SUM(G10:G19)</f>
        <v>0</v>
      </c>
      <c r="H20" s="35">
        <f t="shared" si="1"/>
        <v>0</v>
      </c>
      <c r="I20" s="35">
        <f>SUM(I10:I19)</f>
        <v>40631901</v>
      </c>
    </row>
    <row r="21" spans="1:9" x14ac:dyDescent="0.25">
      <c r="A21" s="113"/>
      <c r="B21" s="114"/>
      <c r="C21" s="114"/>
      <c r="D21" s="114"/>
      <c r="E21" s="114"/>
      <c r="F21" s="114"/>
      <c r="G21" s="114"/>
      <c r="H21" s="114"/>
      <c r="I21" s="115"/>
    </row>
    <row r="22" spans="1:9" x14ac:dyDescent="0.25">
      <c r="A22" s="93" t="s">
        <v>1</v>
      </c>
      <c r="B22" s="90" t="s">
        <v>233</v>
      </c>
      <c r="C22" s="90" t="s">
        <v>150</v>
      </c>
      <c r="D22" s="90" t="s">
        <v>153</v>
      </c>
      <c r="E22" s="90" t="s">
        <v>154</v>
      </c>
      <c r="F22" s="90" t="s">
        <v>156</v>
      </c>
      <c r="G22" s="90" t="s">
        <v>157</v>
      </c>
      <c r="H22" s="90" t="s">
        <v>58</v>
      </c>
      <c r="I22" s="90" t="s">
        <v>130</v>
      </c>
    </row>
    <row r="23" spans="1:9" x14ac:dyDescent="0.25">
      <c r="A23" s="59"/>
      <c r="B23" s="91"/>
      <c r="C23" s="91" t="s">
        <v>151</v>
      </c>
      <c r="D23" s="91"/>
      <c r="E23" s="91" t="s">
        <v>155</v>
      </c>
      <c r="F23" s="91"/>
      <c r="G23" s="91"/>
      <c r="H23" s="91"/>
      <c r="I23" s="91"/>
    </row>
    <row r="24" spans="1:9" x14ac:dyDescent="0.25">
      <c r="A24" s="94"/>
      <c r="B24" s="92"/>
      <c r="C24" s="92" t="s">
        <v>152</v>
      </c>
      <c r="D24" s="92"/>
      <c r="E24" s="92"/>
      <c r="F24" s="92"/>
      <c r="G24" s="92"/>
      <c r="H24" s="92"/>
      <c r="I24" s="92"/>
    </row>
    <row r="25" spans="1:9" x14ac:dyDescent="0.25">
      <c r="A25" s="31" t="s">
        <v>140</v>
      </c>
      <c r="B25" s="32"/>
      <c r="C25" s="32"/>
      <c r="D25" s="74"/>
      <c r="E25" s="74"/>
      <c r="F25" s="32"/>
      <c r="G25" s="32"/>
      <c r="H25" s="32"/>
      <c r="I25" s="32"/>
    </row>
    <row r="26" spans="1:9" x14ac:dyDescent="0.25">
      <c r="A26" s="32" t="s">
        <v>75</v>
      </c>
      <c r="B26" s="96"/>
      <c r="C26" s="96"/>
      <c r="D26" s="119"/>
      <c r="E26" s="119">
        <f>+'FINANCIAL POSITION'!F33</f>
        <v>29634868</v>
      </c>
      <c r="F26" s="96"/>
      <c r="G26" s="96"/>
      <c r="H26" s="96"/>
      <c r="I26" s="34">
        <f>SUM(B26:H26)</f>
        <v>29634868</v>
      </c>
    </row>
    <row r="27" spans="1:9" x14ac:dyDescent="0.25">
      <c r="A27" s="32" t="s">
        <v>56</v>
      </c>
      <c r="B27" s="96"/>
      <c r="C27" s="96"/>
      <c r="D27" s="120"/>
      <c r="E27" s="120"/>
      <c r="F27" s="96"/>
      <c r="G27" s="96"/>
      <c r="H27" s="96"/>
      <c r="I27" s="34">
        <f t="shared" ref="I27:I32" si="2">SUM(B27:H27)</f>
        <v>0</v>
      </c>
    </row>
    <row r="28" spans="1:9" x14ac:dyDescent="0.25">
      <c r="A28" s="32" t="s">
        <v>141</v>
      </c>
      <c r="B28" s="96"/>
      <c r="C28" s="96"/>
      <c r="D28" s="120"/>
      <c r="E28" s="120"/>
      <c r="F28" s="96"/>
      <c r="G28" s="96"/>
      <c r="H28" s="96"/>
      <c r="I28" s="34">
        <f t="shared" si="2"/>
        <v>0</v>
      </c>
    </row>
    <row r="29" spans="1:9" x14ac:dyDescent="0.25">
      <c r="A29" s="32" t="s">
        <v>136</v>
      </c>
      <c r="B29" s="96"/>
      <c r="C29" s="96"/>
      <c r="D29" s="120"/>
      <c r="E29" s="120"/>
      <c r="F29" s="96"/>
      <c r="G29" s="96"/>
      <c r="H29" s="96"/>
      <c r="I29" s="34">
        <f t="shared" si="2"/>
        <v>0</v>
      </c>
    </row>
    <row r="30" spans="1:9" x14ac:dyDescent="0.25">
      <c r="A30" s="32" t="s">
        <v>142</v>
      </c>
      <c r="B30" s="96"/>
      <c r="C30" s="96"/>
      <c r="D30" s="119"/>
      <c r="E30" s="119">
        <f>+'FINANCIAL POSITION'!F38</f>
        <v>2846720</v>
      </c>
      <c r="F30" s="96"/>
      <c r="G30" s="96"/>
      <c r="H30" s="96"/>
      <c r="I30" s="34">
        <f t="shared" si="2"/>
        <v>2846720</v>
      </c>
    </row>
    <row r="31" spans="1:9" x14ac:dyDescent="0.25">
      <c r="A31" s="32" t="s">
        <v>76</v>
      </c>
      <c r="B31" s="96"/>
      <c r="C31" s="96"/>
      <c r="D31" s="120"/>
      <c r="E31" s="120"/>
      <c r="F31" s="96"/>
      <c r="G31" s="96"/>
      <c r="H31" s="34"/>
      <c r="I31" s="34">
        <f t="shared" si="2"/>
        <v>0</v>
      </c>
    </row>
    <row r="32" spans="1:9" x14ac:dyDescent="0.25">
      <c r="A32" s="32" t="s">
        <v>143</v>
      </c>
      <c r="B32" s="96"/>
      <c r="C32" s="96"/>
      <c r="D32" s="120"/>
      <c r="E32" s="120"/>
      <c r="F32" s="96"/>
      <c r="G32" s="96"/>
      <c r="H32" s="34"/>
      <c r="I32" s="34">
        <f t="shared" si="2"/>
        <v>0</v>
      </c>
    </row>
    <row r="33" spans="1:9" x14ac:dyDescent="0.25">
      <c r="A33" s="31" t="s">
        <v>158</v>
      </c>
      <c r="B33" s="121">
        <f t="shared" ref="B33:D33" si="3">SUM(B26:B32)</f>
        <v>0</v>
      </c>
      <c r="C33" s="121">
        <f t="shared" si="3"/>
        <v>0</v>
      </c>
      <c r="D33" s="121">
        <f t="shared" si="3"/>
        <v>0</v>
      </c>
      <c r="E33" s="121">
        <f>SUM(E26:E32)</f>
        <v>32481588</v>
      </c>
      <c r="F33" s="121">
        <f t="shared" ref="F33:H33" si="4">SUM(F26:F32)</f>
        <v>0</v>
      </c>
      <c r="G33" s="121">
        <f t="shared" si="4"/>
        <v>0</v>
      </c>
      <c r="H33" s="121">
        <f t="shared" si="4"/>
        <v>0</v>
      </c>
      <c r="I33" s="35">
        <f>SUM(B33:H33)</f>
        <v>32481588</v>
      </c>
    </row>
    <row r="34" spans="1:9" s="36" customFormat="1" x14ac:dyDescent="0.25">
      <c r="A34" s="65" t="s">
        <v>144</v>
      </c>
      <c r="B34" s="73"/>
      <c r="C34" s="73"/>
      <c r="D34" s="73"/>
      <c r="E34" s="73"/>
      <c r="F34" s="73"/>
      <c r="G34" s="73"/>
      <c r="H34" s="73"/>
      <c r="I34" s="116"/>
    </row>
    <row r="35" spans="1:9" s="36" customFormat="1" x14ac:dyDescent="0.25">
      <c r="A35" s="65" t="s">
        <v>145</v>
      </c>
      <c r="B35" s="73"/>
      <c r="C35" s="73"/>
      <c r="D35" s="73"/>
      <c r="E35" s="73"/>
      <c r="F35" s="73"/>
      <c r="G35" s="73"/>
      <c r="H35" s="73"/>
      <c r="I35" s="116"/>
    </row>
    <row r="36" spans="1:9" s="36" customFormat="1" x14ac:dyDescent="0.25">
      <c r="A36" s="65" t="s">
        <v>146</v>
      </c>
      <c r="B36" s="73"/>
      <c r="C36" s="73"/>
      <c r="D36" s="73"/>
      <c r="E36" s="73"/>
      <c r="F36" s="73"/>
      <c r="G36" s="73"/>
      <c r="H36" s="73"/>
      <c r="I36" s="116"/>
    </row>
    <row r="37" spans="1:9" s="36" customFormat="1" x14ac:dyDescent="0.25">
      <c r="A37" s="65" t="s">
        <v>147</v>
      </c>
      <c r="B37" s="73"/>
      <c r="C37" s="73"/>
      <c r="D37" s="73"/>
      <c r="E37" s="73"/>
      <c r="F37" s="73"/>
      <c r="G37" s="73"/>
      <c r="H37" s="73"/>
      <c r="I37" s="116"/>
    </row>
    <row r="38" spans="1:9" s="36" customFormat="1" x14ac:dyDescent="0.25">
      <c r="A38" s="65" t="s">
        <v>148</v>
      </c>
      <c r="B38" s="73"/>
      <c r="C38" s="73"/>
      <c r="D38" s="73"/>
      <c r="E38" s="73"/>
      <c r="F38" s="73"/>
      <c r="G38" s="73"/>
      <c r="H38" s="73"/>
      <c r="I38" s="116"/>
    </row>
    <row r="39" spans="1:9" s="36" customFormat="1" x14ac:dyDescent="0.25">
      <c r="A39" s="65" t="s">
        <v>149</v>
      </c>
      <c r="B39" s="73"/>
      <c r="C39" s="73"/>
      <c r="D39" s="73"/>
      <c r="E39" s="73"/>
      <c r="F39" s="73"/>
      <c r="G39" s="73"/>
      <c r="H39" s="73"/>
      <c r="I39" s="116"/>
    </row>
    <row r="40" spans="1:9" s="36" customFormat="1" x14ac:dyDescent="0.25">
      <c r="A40" s="65"/>
      <c r="B40" s="73"/>
      <c r="C40" s="73"/>
      <c r="D40" s="73"/>
      <c r="E40" s="73"/>
      <c r="F40" s="73"/>
      <c r="G40" s="73"/>
      <c r="H40" s="73"/>
      <c r="I40" s="116"/>
    </row>
    <row r="41" spans="1:9" s="36" customFormat="1" x14ac:dyDescent="0.25">
      <c r="A41" s="65"/>
      <c r="B41" s="73"/>
      <c r="C41" s="73"/>
      <c r="D41" s="73"/>
      <c r="E41" s="73"/>
      <c r="F41" s="73"/>
      <c r="G41" s="73"/>
      <c r="H41" s="73"/>
      <c r="I41" s="116"/>
    </row>
    <row r="42" spans="1:9" s="36" customFormat="1" ht="16.5" thickBot="1" x14ac:dyDescent="0.3">
      <c r="A42" s="117"/>
      <c r="B42" s="95"/>
      <c r="C42" s="95"/>
      <c r="D42" s="95"/>
      <c r="E42" s="95"/>
      <c r="F42" s="95"/>
      <c r="G42" s="95"/>
      <c r="H42" s="95"/>
      <c r="I42" s="118"/>
    </row>
    <row r="43" spans="1:9" s="36" customFormat="1" ht="16.5" thickTop="1" x14ac:dyDescent="0.25">
      <c r="A43" s="65"/>
      <c r="B43" s="73"/>
      <c r="C43" s="73"/>
      <c r="D43" s="73"/>
      <c r="E43" s="73"/>
      <c r="F43" s="73"/>
      <c r="G43" s="73"/>
      <c r="H43" s="73"/>
      <c r="I43" s="116"/>
    </row>
    <row r="44" spans="1:9" s="36" customFormat="1" x14ac:dyDescent="0.25">
      <c r="A44" s="65"/>
      <c r="B44" s="73"/>
      <c r="C44" s="73"/>
      <c r="D44" s="73"/>
      <c r="E44" s="73"/>
      <c r="F44" s="73"/>
      <c r="G44" s="73"/>
      <c r="H44" s="73"/>
      <c r="I44" s="116"/>
    </row>
    <row r="45" spans="1:9" s="36" customFormat="1" x14ac:dyDescent="0.25">
      <c r="A45" s="65"/>
      <c r="B45" s="73"/>
      <c r="C45" s="73"/>
      <c r="D45" s="73"/>
      <c r="E45" s="73"/>
      <c r="F45" s="73"/>
      <c r="G45" s="73"/>
      <c r="H45" s="73"/>
      <c r="I45" s="116"/>
    </row>
    <row r="46" spans="1:9" s="36" customFormat="1" x14ac:dyDescent="0.25">
      <c r="A46" s="288" t="s">
        <v>39</v>
      </c>
      <c r="B46" s="289"/>
      <c r="C46" s="289"/>
      <c r="D46" s="289"/>
      <c r="E46" s="289"/>
      <c r="F46" s="289"/>
      <c r="G46" s="289"/>
      <c r="H46" s="289"/>
      <c r="I46" s="290"/>
    </row>
    <row r="47" spans="1:9" s="36" customFormat="1" x14ac:dyDescent="0.25">
      <c r="A47" s="288" t="s">
        <v>159</v>
      </c>
      <c r="B47" s="289"/>
      <c r="C47" s="289"/>
      <c r="D47" s="289"/>
      <c r="E47" s="289"/>
      <c r="F47" s="289"/>
      <c r="G47" s="289"/>
      <c r="H47" s="289"/>
      <c r="I47" s="290"/>
    </row>
    <row r="48" spans="1:9" s="36" customFormat="1" x14ac:dyDescent="0.25">
      <c r="A48" s="288" t="s">
        <v>341</v>
      </c>
      <c r="B48" s="289"/>
      <c r="C48" s="289"/>
      <c r="D48" s="289"/>
      <c r="E48" s="289"/>
      <c r="F48" s="289"/>
      <c r="G48" s="289"/>
      <c r="H48" s="289"/>
      <c r="I48" s="290"/>
    </row>
    <row r="49" spans="1:9" s="36" customFormat="1" x14ac:dyDescent="0.25">
      <c r="A49" s="222"/>
      <c r="B49" s="223"/>
      <c r="C49" s="223"/>
      <c r="D49" s="223"/>
      <c r="E49" s="223"/>
      <c r="F49" s="223"/>
      <c r="G49" s="223"/>
      <c r="H49" s="223"/>
      <c r="I49" s="224"/>
    </row>
    <row r="50" spans="1:9" s="158" customFormat="1" x14ac:dyDescent="0.25">
      <c r="A50" s="323" t="s">
        <v>246</v>
      </c>
      <c r="B50" s="324"/>
      <c r="C50" s="324"/>
      <c r="D50" s="324"/>
      <c r="E50" s="324"/>
      <c r="F50" s="324"/>
      <c r="G50" s="324"/>
      <c r="H50" s="324"/>
      <c r="I50" s="325"/>
    </row>
    <row r="51" spans="1:9" x14ac:dyDescent="0.25">
      <c r="A51" s="93" t="s">
        <v>1</v>
      </c>
      <c r="B51" s="90" t="s">
        <v>233</v>
      </c>
      <c r="C51" s="90" t="s">
        <v>150</v>
      </c>
      <c r="D51" s="90" t="s">
        <v>153</v>
      </c>
      <c r="E51" s="90" t="s">
        <v>154</v>
      </c>
      <c r="F51" s="90" t="s">
        <v>156</v>
      </c>
      <c r="G51" s="90" t="s">
        <v>157</v>
      </c>
      <c r="H51" s="90" t="s">
        <v>58</v>
      </c>
      <c r="I51" s="90" t="s">
        <v>130</v>
      </c>
    </row>
    <row r="52" spans="1:9" x14ac:dyDescent="0.25">
      <c r="A52" s="59"/>
      <c r="B52" s="91"/>
      <c r="C52" s="91" t="s">
        <v>151</v>
      </c>
      <c r="D52" s="91"/>
      <c r="E52" s="91" t="s">
        <v>155</v>
      </c>
      <c r="F52" s="91"/>
      <c r="G52" s="91"/>
      <c r="H52" s="91"/>
      <c r="I52" s="91"/>
    </row>
    <row r="53" spans="1:9" x14ac:dyDescent="0.25">
      <c r="A53" s="94"/>
      <c r="B53" s="92"/>
      <c r="C53" s="92" t="s">
        <v>152</v>
      </c>
      <c r="D53" s="92"/>
      <c r="E53" s="92"/>
      <c r="F53" s="92"/>
      <c r="G53" s="92"/>
      <c r="H53" s="92"/>
      <c r="I53" s="92"/>
    </row>
    <row r="54" spans="1:9" x14ac:dyDescent="0.25">
      <c r="A54" s="31" t="s">
        <v>133</v>
      </c>
      <c r="B54" s="32"/>
      <c r="C54" s="32"/>
      <c r="D54" s="34"/>
      <c r="F54" s="34"/>
      <c r="G54" s="34"/>
      <c r="H54" s="34"/>
      <c r="I54" s="34"/>
    </row>
    <row r="55" spans="1:9" x14ac:dyDescent="0.25">
      <c r="A55" s="32" t="s">
        <v>134</v>
      </c>
      <c r="B55" s="34"/>
      <c r="C55" s="34"/>
      <c r="D55" s="34"/>
      <c r="E55" s="34">
        <v>618045</v>
      </c>
      <c r="F55" s="34"/>
      <c r="G55" s="34"/>
      <c r="H55" s="34"/>
      <c r="I55" s="34">
        <v>618045</v>
      </c>
    </row>
    <row r="56" spans="1:9" x14ac:dyDescent="0.25">
      <c r="A56" s="32" t="s">
        <v>54</v>
      </c>
      <c r="B56" s="34"/>
      <c r="C56" s="34"/>
      <c r="D56" s="34"/>
      <c r="E56" s="34">
        <v>59850</v>
      </c>
      <c r="F56" s="34"/>
      <c r="G56" s="34"/>
      <c r="H56" s="34"/>
      <c r="I56" s="34">
        <v>59850</v>
      </c>
    </row>
    <row r="57" spans="1:9" x14ac:dyDescent="0.25">
      <c r="A57" s="32" t="s">
        <v>55</v>
      </c>
      <c r="B57" s="34"/>
      <c r="C57" s="34"/>
      <c r="D57" s="34"/>
      <c r="E57" s="34">
        <v>13865287</v>
      </c>
      <c r="F57" s="34"/>
      <c r="G57" s="34"/>
      <c r="H57" s="34"/>
      <c r="I57" s="34">
        <v>13865287</v>
      </c>
    </row>
    <row r="58" spans="1:9" x14ac:dyDescent="0.25">
      <c r="A58" s="32" t="s">
        <v>56</v>
      </c>
      <c r="B58" s="34"/>
      <c r="C58" s="34"/>
      <c r="D58" s="34"/>
      <c r="E58" s="34"/>
      <c r="F58" s="34"/>
      <c r="G58" s="34"/>
      <c r="H58" s="34"/>
      <c r="I58" s="34">
        <v>0</v>
      </c>
    </row>
    <row r="59" spans="1:9" x14ac:dyDescent="0.25">
      <c r="A59" s="32" t="s">
        <v>135</v>
      </c>
      <c r="B59" s="34"/>
      <c r="C59" s="34"/>
      <c r="D59" s="34"/>
      <c r="E59" s="34"/>
      <c r="F59" s="34"/>
      <c r="G59" s="34"/>
      <c r="H59" s="34"/>
      <c r="I59" s="34">
        <v>0</v>
      </c>
    </row>
    <row r="60" spans="1:9" x14ac:dyDescent="0.25">
      <c r="A60" s="32" t="s">
        <v>136</v>
      </c>
      <c r="B60" s="34"/>
      <c r="C60" s="34"/>
      <c r="D60" s="34"/>
      <c r="E60" s="34"/>
      <c r="F60" s="34"/>
      <c r="G60" s="34"/>
      <c r="H60" s="34"/>
      <c r="I60" s="34">
        <v>0</v>
      </c>
    </row>
    <row r="61" spans="1:9" x14ac:dyDescent="0.25">
      <c r="A61" s="32" t="s">
        <v>137</v>
      </c>
      <c r="B61" s="34"/>
      <c r="C61" s="34"/>
      <c r="D61" s="34"/>
      <c r="E61" s="34">
        <v>163000</v>
      </c>
      <c r="F61" s="34"/>
      <c r="G61" s="34"/>
      <c r="H61" s="34"/>
      <c r="I61" s="34">
        <v>163000</v>
      </c>
    </row>
    <row r="62" spans="1:9" x14ac:dyDescent="0.25">
      <c r="A62" s="32" t="s">
        <v>185</v>
      </c>
      <c r="B62" s="34"/>
      <c r="C62" s="34"/>
      <c r="D62" s="34"/>
      <c r="E62" s="34">
        <v>15048227</v>
      </c>
      <c r="F62" s="34"/>
      <c r="G62" s="34"/>
      <c r="H62" s="34"/>
      <c r="I62" s="34">
        <v>15048227</v>
      </c>
    </row>
    <row r="63" spans="1:9" x14ac:dyDescent="0.25">
      <c r="A63" s="32" t="s">
        <v>58</v>
      </c>
      <c r="B63" s="34"/>
      <c r="C63" s="34"/>
      <c r="D63" s="34"/>
      <c r="E63" s="34"/>
      <c r="F63" s="34"/>
      <c r="G63" s="34"/>
      <c r="H63" s="34"/>
      <c r="I63" s="34">
        <v>0</v>
      </c>
    </row>
    <row r="64" spans="1:9" x14ac:dyDescent="0.25">
      <c r="A64" s="32" t="s">
        <v>138</v>
      </c>
      <c r="B64" s="34"/>
      <c r="C64" s="34"/>
      <c r="D64" s="34">
        <v>3140265</v>
      </c>
      <c r="E64" s="34"/>
      <c r="F64" s="34">
        <v>2040</v>
      </c>
      <c r="G64" s="34"/>
      <c r="H64" s="34"/>
      <c r="I64" s="34">
        <v>3142305</v>
      </c>
    </row>
    <row r="65" spans="1:9" s="2" customFormat="1" x14ac:dyDescent="0.25">
      <c r="A65" s="31" t="s">
        <v>139</v>
      </c>
      <c r="B65" s="35">
        <v>0</v>
      </c>
      <c r="C65" s="35">
        <v>0</v>
      </c>
      <c r="D65" s="35">
        <v>3140265</v>
      </c>
      <c r="E65" s="35">
        <v>29754409</v>
      </c>
      <c r="F65" s="35">
        <v>2040</v>
      </c>
      <c r="G65" s="35">
        <v>0</v>
      </c>
      <c r="H65" s="35">
        <v>0</v>
      </c>
      <c r="I65" s="35">
        <v>32896714</v>
      </c>
    </row>
    <row r="66" spans="1:9" x14ac:dyDescent="0.25">
      <c r="A66" s="113"/>
      <c r="B66" s="114"/>
      <c r="C66" s="114"/>
      <c r="D66" s="114"/>
      <c r="E66" s="114"/>
      <c r="F66" s="114"/>
      <c r="G66" s="114"/>
      <c r="H66" s="114"/>
      <c r="I66" s="115"/>
    </row>
    <row r="67" spans="1:9" x14ac:dyDescent="0.25">
      <c r="A67" s="93" t="s">
        <v>229</v>
      </c>
      <c r="B67" s="90" t="s">
        <v>233</v>
      </c>
      <c r="C67" s="90" t="s">
        <v>150</v>
      </c>
      <c r="D67" s="90" t="s">
        <v>153</v>
      </c>
      <c r="E67" s="90" t="s">
        <v>154</v>
      </c>
      <c r="F67" s="90" t="s">
        <v>156</v>
      </c>
      <c r="G67" s="90" t="s">
        <v>157</v>
      </c>
      <c r="H67" s="90" t="s">
        <v>58</v>
      </c>
      <c r="I67" s="90" t="s">
        <v>130</v>
      </c>
    </row>
    <row r="68" spans="1:9" x14ac:dyDescent="0.25">
      <c r="A68" s="59"/>
      <c r="B68" s="91"/>
      <c r="C68" s="91" t="s">
        <v>151</v>
      </c>
      <c r="D68" s="91"/>
      <c r="E68" s="91" t="s">
        <v>155</v>
      </c>
      <c r="F68" s="91"/>
      <c r="G68" s="91"/>
      <c r="H68" s="91"/>
      <c r="I68" s="91"/>
    </row>
    <row r="69" spans="1:9" x14ac:dyDescent="0.25">
      <c r="A69" s="94"/>
      <c r="B69" s="92"/>
      <c r="C69" s="92" t="s">
        <v>152</v>
      </c>
      <c r="D69" s="92"/>
      <c r="E69" s="92"/>
      <c r="F69" s="92"/>
      <c r="G69" s="92"/>
      <c r="H69" s="92"/>
      <c r="I69" s="92"/>
    </row>
    <row r="70" spans="1:9" x14ac:dyDescent="0.25">
      <c r="A70" s="31" t="s">
        <v>140</v>
      </c>
      <c r="B70" s="32"/>
      <c r="C70" s="32"/>
      <c r="D70" s="136"/>
      <c r="E70" s="136"/>
      <c r="F70" s="32"/>
      <c r="G70" s="32"/>
      <c r="H70" s="32"/>
      <c r="I70" s="32"/>
    </row>
    <row r="71" spans="1:9" x14ac:dyDescent="0.25">
      <c r="A71" s="32" t="s">
        <v>75</v>
      </c>
      <c r="B71" s="96"/>
      <c r="C71" s="96"/>
      <c r="D71" s="137"/>
      <c r="E71" s="119">
        <v>23173353</v>
      </c>
      <c r="F71" s="96"/>
      <c r="G71" s="96"/>
      <c r="H71" s="96"/>
      <c r="I71" s="34">
        <v>23173353</v>
      </c>
    </row>
    <row r="72" spans="1:9" x14ac:dyDescent="0.25">
      <c r="A72" s="32" t="s">
        <v>56</v>
      </c>
      <c r="B72" s="96"/>
      <c r="C72" s="96"/>
      <c r="D72" s="135"/>
      <c r="E72" s="120"/>
      <c r="F72" s="96"/>
      <c r="G72" s="96"/>
      <c r="H72" s="96"/>
      <c r="I72" s="34">
        <v>0</v>
      </c>
    </row>
    <row r="73" spans="1:9" x14ac:dyDescent="0.25">
      <c r="A73" s="32" t="s">
        <v>141</v>
      </c>
      <c r="B73" s="96"/>
      <c r="C73" s="96"/>
      <c r="D73" s="135"/>
      <c r="E73" s="120"/>
      <c r="F73" s="96"/>
      <c r="G73" s="96"/>
      <c r="H73" s="96"/>
      <c r="I73" s="34">
        <v>0</v>
      </c>
    </row>
    <row r="74" spans="1:9" x14ac:dyDescent="0.25">
      <c r="A74" s="32" t="s">
        <v>136</v>
      </c>
      <c r="B74" s="96"/>
      <c r="C74" s="96"/>
      <c r="D74" s="135"/>
      <c r="E74" s="120"/>
      <c r="F74" s="96"/>
      <c r="G74" s="96"/>
      <c r="H74" s="96"/>
      <c r="I74" s="34">
        <v>0</v>
      </c>
    </row>
    <row r="75" spans="1:9" x14ac:dyDescent="0.25">
      <c r="A75" s="32" t="s">
        <v>142</v>
      </c>
      <c r="B75" s="96"/>
      <c r="C75" s="96"/>
      <c r="D75" s="137"/>
      <c r="E75" s="119">
        <v>2280111</v>
      </c>
      <c r="F75" s="96"/>
      <c r="G75" s="96"/>
      <c r="H75" s="96"/>
      <c r="I75" s="34">
        <v>2280111</v>
      </c>
    </row>
    <row r="76" spans="1:9" x14ac:dyDescent="0.25">
      <c r="A76" s="32" t="s">
        <v>76</v>
      </c>
      <c r="B76" s="96"/>
      <c r="C76" s="96"/>
      <c r="D76" s="135"/>
      <c r="E76" s="135"/>
      <c r="F76" s="96"/>
      <c r="G76" s="96"/>
      <c r="H76" s="34"/>
      <c r="I76" s="34">
        <v>0</v>
      </c>
    </row>
    <row r="77" spans="1:9" x14ac:dyDescent="0.25">
      <c r="A77" s="32" t="s">
        <v>143</v>
      </c>
      <c r="B77" s="96"/>
      <c r="C77" s="96"/>
      <c r="D77" s="135"/>
      <c r="E77" s="135"/>
      <c r="F77" s="96"/>
      <c r="G77" s="96"/>
      <c r="H77" s="34"/>
      <c r="I77" s="34">
        <v>0</v>
      </c>
    </row>
    <row r="78" spans="1:9" x14ac:dyDescent="0.25">
      <c r="A78" s="31" t="s">
        <v>158</v>
      </c>
      <c r="B78" s="264">
        <f t="shared" ref="B78:C78" si="5">SUM(B71:B77)</f>
        <v>0</v>
      </c>
      <c r="C78" s="264">
        <f t="shared" si="5"/>
        <v>0</v>
      </c>
      <c r="D78" s="264">
        <f>SUM(D71:D77)</f>
        <v>0</v>
      </c>
      <c r="E78" s="221">
        <v>25453464</v>
      </c>
      <c r="F78" s="264">
        <f>SUM(F71:F77)</f>
        <v>0</v>
      </c>
      <c r="G78" s="264">
        <f t="shared" ref="G78:H78" si="6">SUM(G71:G77)</f>
        <v>0</v>
      </c>
      <c r="H78" s="264">
        <f t="shared" si="6"/>
        <v>0</v>
      </c>
      <c r="I78" s="35">
        <v>25453464</v>
      </c>
    </row>
    <row r="79" spans="1:9" s="36" customFormat="1" x14ac:dyDescent="0.25">
      <c r="A79" s="65" t="s">
        <v>144</v>
      </c>
      <c r="B79" s="73"/>
      <c r="C79" s="73"/>
      <c r="D79" s="73"/>
      <c r="E79" s="73"/>
      <c r="F79" s="73"/>
      <c r="G79" s="73"/>
      <c r="H79" s="73"/>
      <c r="I79" s="116"/>
    </row>
    <row r="80" spans="1:9" s="36" customFormat="1" x14ac:dyDescent="0.25">
      <c r="A80" s="65" t="s">
        <v>145</v>
      </c>
      <c r="B80" s="73"/>
      <c r="C80" s="73"/>
      <c r="D80" s="73"/>
      <c r="E80" s="73"/>
      <c r="F80" s="73"/>
      <c r="G80" s="73"/>
      <c r="H80" s="73"/>
      <c r="I80" s="116"/>
    </row>
    <row r="81" spans="1:9" s="36" customFormat="1" x14ac:dyDescent="0.25">
      <c r="A81" s="65" t="s">
        <v>146</v>
      </c>
      <c r="B81" s="73"/>
      <c r="C81" s="73"/>
      <c r="D81" s="73"/>
      <c r="E81" s="73"/>
      <c r="F81" s="73"/>
      <c r="G81" s="73"/>
      <c r="H81" s="73"/>
      <c r="I81" s="116"/>
    </row>
    <row r="82" spans="1:9" s="36" customFormat="1" x14ac:dyDescent="0.25">
      <c r="A82" s="65" t="s">
        <v>147</v>
      </c>
      <c r="B82" s="73"/>
      <c r="C82" s="73"/>
      <c r="D82" s="73"/>
      <c r="E82" s="73"/>
      <c r="F82" s="73"/>
      <c r="G82" s="73"/>
      <c r="H82" s="73"/>
      <c r="I82" s="116"/>
    </row>
    <row r="83" spans="1:9" s="36" customFormat="1" x14ac:dyDescent="0.25">
      <c r="A83" s="65" t="s">
        <v>148</v>
      </c>
      <c r="B83" s="73"/>
      <c r="C83" s="73"/>
      <c r="D83" s="73"/>
      <c r="E83" s="73"/>
      <c r="F83" s="73"/>
      <c r="G83" s="73"/>
      <c r="H83" s="73"/>
      <c r="I83" s="116"/>
    </row>
    <row r="84" spans="1:9" s="36" customFormat="1" x14ac:dyDescent="0.25">
      <c r="A84" s="65" t="s">
        <v>149</v>
      </c>
      <c r="B84" s="73"/>
      <c r="C84" s="73"/>
      <c r="D84" s="73"/>
      <c r="E84" s="73"/>
      <c r="F84" s="73"/>
      <c r="G84" s="73"/>
      <c r="H84" s="73"/>
      <c r="I84" s="116"/>
    </row>
    <row r="85" spans="1:9" s="36" customFormat="1" x14ac:dyDescent="0.25">
      <c r="A85" s="65"/>
      <c r="B85" s="73"/>
      <c r="C85" s="73"/>
      <c r="D85" s="73"/>
      <c r="E85" s="73"/>
      <c r="F85" s="73"/>
      <c r="G85" s="73"/>
      <c r="H85" s="73"/>
      <c r="I85" s="116"/>
    </row>
    <row r="86" spans="1:9" s="36" customFormat="1" x14ac:dyDescent="0.25">
      <c r="A86" s="65"/>
      <c r="B86" s="73"/>
      <c r="C86" s="73"/>
      <c r="D86" s="73"/>
      <c r="E86" s="73"/>
      <c r="F86" s="73"/>
      <c r="G86" s="73"/>
      <c r="H86" s="73"/>
      <c r="I86" s="116"/>
    </row>
    <row r="87" spans="1:9" s="36" customFormat="1" x14ac:dyDescent="0.25">
      <c r="A87" s="66"/>
      <c r="B87" s="38"/>
      <c r="C87" s="38"/>
      <c r="D87" s="38"/>
      <c r="E87" s="38"/>
      <c r="F87" s="38"/>
      <c r="G87" s="38"/>
      <c r="H87" s="38"/>
      <c r="I87" s="225"/>
    </row>
    <row r="88" spans="1:9" s="73" customFormat="1" hidden="1" x14ac:dyDescent="0.25"/>
    <row r="89" spans="1:9" s="73" customFormat="1" hidden="1" x14ac:dyDescent="0.25"/>
    <row r="90" spans="1:9" s="73" customFormat="1" hidden="1" x14ac:dyDescent="0.25"/>
    <row r="91" spans="1:9" s="73" customFormat="1" hidden="1" x14ac:dyDescent="0.25">
      <c r="A91" s="320" t="s">
        <v>39</v>
      </c>
      <c r="B91" s="321"/>
      <c r="C91" s="321"/>
      <c r="D91" s="321"/>
      <c r="E91" s="321"/>
      <c r="F91" s="321"/>
      <c r="G91" s="321"/>
      <c r="H91" s="321"/>
      <c r="I91" s="322"/>
    </row>
    <row r="92" spans="1:9" s="73" customFormat="1" hidden="1" x14ac:dyDescent="0.25">
      <c r="A92" s="317" t="s">
        <v>228</v>
      </c>
      <c r="B92" s="318"/>
      <c r="C92" s="318"/>
      <c r="D92" s="318"/>
      <c r="E92" s="318"/>
      <c r="F92" s="318"/>
      <c r="G92" s="318"/>
      <c r="H92" s="318"/>
      <c r="I92" s="319"/>
    </row>
    <row r="93" spans="1:9" s="73" customFormat="1" hidden="1" x14ac:dyDescent="0.25">
      <c r="A93" s="317" t="s">
        <v>319</v>
      </c>
      <c r="B93" s="318"/>
      <c r="C93" s="318"/>
      <c r="D93" s="318"/>
      <c r="E93" s="318"/>
      <c r="F93" s="318"/>
      <c r="G93" s="318"/>
      <c r="H93" s="318"/>
      <c r="I93" s="319"/>
    </row>
    <row r="94" spans="1:9" s="73" customFormat="1" hidden="1" x14ac:dyDescent="0.25">
      <c r="A94" s="317"/>
      <c r="B94" s="318"/>
      <c r="C94" s="318"/>
      <c r="D94" s="318"/>
      <c r="E94" s="318"/>
      <c r="F94" s="318"/>
      <c r="G94" s="318"/>
      <c r="H94" s="318"/>
      <c r="I94" s="319"/>
    </row>
    <row r="95" spans="1:9" s="9" customFormat="1" ht="18.75" hidden="1" customHeight="1" x14ac:dyDescent="0.25">
      <c r="A95" s="178" t="s">
        <v>264</v>
      </c>
      <c r="B95" s="179"/>
      <c r="C95" s="179"/>
      <c r="D95" s="179"/>
      <c r="E95" s="179"/>
      <c r="F95" s="179"/>
      <c r="G95" s="179"/>
      <c r="H95" s="179"/>
      <c r="I95" s="180"/>
    </row>
    <row r="96" spans="1:9" s="9" customFormat="1" hidden="1" x14ac:dyDescent="0.25">
      <c r="A96" s="181" t="s">
        <v>229</v>
      </c>
      <c r="B96" s="182" t="s">
        <v>233</v>
      </c>
      <c r="C96" s="182" t="s">
        <v>150</v>
      </c>
      <c r="D96" s="182" t="s">
        <v>153</v>
      </c>
      <c r="E96" s="182" t="s">
        <v>154</v>
      </c>
      <c r="F96" s="182" t="s">
        <v>156</v>
      </c>
      <c r="G96" s="182" t="s">
        <v>157</v>
      </c>
      <c r="H96" s="182" t="s">
        <v>58</v>
      </c>
      <c r="I96" s="182" t="s">
        <v>130</v>
      </c>
    </row>
    <row r="97" spans="1:9" s="9" customFormat="1" hidden="1" x14ac:dyDescent="0.25">
      <c r="A97" s="183"/>
      <c r="B97" s="184"/>
      <c r="C97" s="184" t="s">
        <v>151</v>
      </c>
      <c r="D97" s="184"/>
      <c r="E97" s="184" t="s">
        <v>155</v>
      </c>
      <c r="F97" s="184"/>
      <c r="G97" s="184"/>
      <c r="H97" s="184"/>
      <c r="I97" s="184"/>
    </row>
    <row r="98" spans="1:9" s="9" customFormat="1" hidden="1" x14ac:dyDescent="0.25">
      <c r="A98" s="185"/>
      <c r="B98" s="186"/>
      <c r="C98" s="186" t="s">
        <v>152</v>
      </c>
      <c r="D98" s="186"/>
      <c r="E98" s="186"/>
      <c r="F98" s="186"/>
      <c r="G98" s="186"/>
      <c r="H98" s="186"/>
      <c r="I98" s="186"/>
    </row>
    <row r="99" spans="1:9" s="9" customFormat="1" hidden="1" x14ac:dyDescent="0.25">
      <c r="A99" s="31" t="s">
        <v>133</v>
      </c>
      <c r="B99" s="32"/>
      <c r="C99" s="32"/>
      <c r="D99" s="32"/>
      <c r="E99" s="32"/>
      <c r="F99" s="32"/>
      <c r="G99" s="32"/>
      <c r="H99" s="32"/>
      <c r="I99" s="32"/>
    </row>
    <row r="100" spans="1:9" s="9" customFormat="1" hidden="1" x14ac:dyDescent="0.25">
      <c r="A100" s="32" t="s">
        <v>134</v>
      </c>
      <c r="B100" s="168">
        <v>0</v>
      </c>
      <c r="C100" s="168"/>
      <c r="D100" s="168"/>
      <c r="E100" s="168"/>
      <c r="F100" s="168"/>
      <c r="G100" s="168"/>
      <c r="H100" s="168"/>
      <c r="I100" s="168">
        <f>SUM(B100:H100)</f>
        <v>0</v>
      </c>
    </row>
    <row r="101" spans="1:9" s="9" customFormat="1" hidden="1" x14ac:dyDescent="0.25">
      <c r="A101" s="32" t="s">
        <v>54</v>
      </c>
      <c r="B101" s="168"/>
      <c r="C101" s="168"/>
      <c r="D101" s="168"/>
      <c r="E101" s="168"/>
      <c r="F101" s="168"/>
      <c r="G101" s="168"/>
      <c r="H101" s="168"/>
      <c r="I101" s="168">
        <f t="shared" ref="I101:I109" si="7">SUM(B101:H101)</f>
        <v>0</v>
      </c>
    </row>
    <row r="102" spans="1:9" s="9" customFormat="1" hidden="1" x14ac:dyDescent="0.25">
      <c r="A102" s="32" t="s">
        <v>55</v>
      </c>
      <c r="B102" s="168"/>
      <c r="C102" s="168"/>
      <c r="D102" s="168"/>
      <c r="E102" s="168"/>
      <c r="F102" s="168"/>
      <c r="G102" s="168"/>
      <c r="H102" s="168"/>
      <c r="I102" s="168">
        <f t="shared" si="7"/>
        <v>0</v>
      </c>
    </row>
    <row r="103" spans="1:9" s="9" customFormat="1" hidden="1" x14ac:dyDescent="0.25">
      <c r="A103" s="32" t="s">
        <v>56</v>
      </c>
      <c r="B103" s="168"/>
      <c r="C103" s="168"/>
      <c r="D103" s="168"/>
      <c r="E103" s="168"/>
      <c r="F103" s="168"/>
      <c r="G103" s="168"/>
      <c r="H103" s="168"/>
      <c r="I103" s="168">
        <f t="shared" si="7"/>
        <v>0</v>
      </c>
    </row>
    <row r="104" spans="1:9" s="9" customFormat="1" hidden="1" x14ac:dyDescent="0.25">
      <c r="A104" s="32" t="s">
        <v>135</v>
      </c>
      <c r="B104" s="168"/>
      <c r="C104" s="168"/>
      <c r="D104" s="168"/>
      <c r="E104" s="168"/>
      <c r="F104" s="168"/>
      <c r="G104" s="168"/>
      <c r="H104" s="168"/>
      <c r="I104" s="168">
        <f t="shared" si="7"/>
        <v>0</v>
      </c>
    </row>
    <row r="105" spans="1:9" s="9" customFormat="1" hidden="1" x14ac:dyDescent="0.25">
      <c r="A105" s="32" t="s">
        <v>136</v>
      </c>
      <c r="B105" s="168"/>
      <c r="C105" s="168"/>
      <c r="D105" s="168"/>
      <c r="E105" s="168"/>
      <c r="F105" s="168"/>
      <c r="G105" s="168"/>
      <c r="H105" s="168"/>
      <c r="I105" s="168">
        <f t="shared" si="7"/>
        <v>0</v>
      </c>
    </row>
    <row r="106" spans="1:9" s="9" customFormat="1" hidden="1" x14ac:dyDescent="0.25">
      <c r="A106" s="32" t="s">
        <v>137</v>
      </c>
      <c r="B106" s="168"/>
      <c r="C106" s="168"/>
      <c r="D106" s="168"/>
      <c r="E106" s="168"/>
      <c r="F106" s="168"/>
      <c r="G106" s="168"/>
      <c r="H106" s="168"/>
      <c r="I106" s="168">
        <f t="shared" si="7"/>
        <v>0</v>
      </c>
    </row>
    <row r="107" spans="1:9" s="9" customFormat="1" hidden="1" x14ac:dyDescent="0.25">
      <c r="A107" s="32" t="s">
        <v>185</v>
      </c>
      <c r="B107" s="168"/>
      <c r="C107" s="168"/>
      <c r="D107" s="168"/>
      <c r="E107" s="168"/>
      <c r="F107" s="168"/>
      <c r="G107" s="168"/>
      <c r="H107" s="168"/>
      <c r="I107" s="168">
        <f t="shared" si="7"/>
        <v>0</v>
      </c>
    </row>
    <row r="108" spans="1:9" s="9" customFormat="1" hidden="1" x14ac:dyDescent="0.25">
      <c r="A108" s="32" t="s">
        <v>58</v>
      </c>
      <c r="B108" s="168"/>
      <c r="C108" s="168"/>
      <c r="D108" s="201"/>
      <c r="E108" s="201"/>
      <c r="F108" s="201"/>
      <c r="G108" s="201"/>
      <c r="H108" s="201"/>
      <c r="I108" s="201">
        <f t="shared" si="7"/>
        <v>0</v>
      </c>
    </row>
    <row r="109" spans="1:9" s="9" customFormat="1" hidden="1" x14ac:dyDescent="0.25">
      <c r="A109" s="32" t="s">
        <v>138</v>
      </c>
      <c r="B109" s="168"/>
      <c r="C109" s="168"/>
      <c r="D109" s="201">
        <f>(457092337844.36+31740942008.2086)/1000</f>
        <v>488833279.85256863</v>
      </c>
      <c r="E109" s="201"/>
      <c r="F109" s="201">
        <f>(221553768370.991+4469877789.66387)/1000</f>
        <v>226023646.16065487</v>
      </c>
      <c r="G109" s="201"/>
      <c r="H109" s="201"/>
      <c r="I109" s="201">
        <f t="shared" si="7"/>
        <v>714856926.01322353</v>
      </c>
    </row>
    <row r="110" spans="1:9" s="10" customFormat="1" hidden="1" x14ac:dyDescent="0.25">
      <c r="A110" s="31" t="s">
        <v>139</v>
      </c>
      <c r="B110" s="187"/>
      <c r="C110" s="187"/>
      <c r="D110" s="228">
        <f>SUM(D100:D109)</f>
        <v>488833279.85256863</v>
      </c>
      <c r="E110" s="228"/>
      <c r="F110" s="228">
        <f>SUM(F100:F109)</f>
        <v>226023646.16065487</v>
      </c>
      <c r="G110" s="228"/>
      <c r="H110" s="228"/>
      <c r="I110" s="228">
        <f>SUM(I100:I109)</f>
        <v>714856926.01322353</v>
      </c>
    </row>
    <row r="111" spans="1:9" s="9" customFormat="1" hidden="1" x14ac:dyDescent="0.25">
      <c r="A111" s="113"/>
      <c r="B111" s="188"/>
      <c r="C111" s="188"/>
      <c r="D111" s="188"/>
      <c r="E111" s="188"/>
      <c r="F111" s="188"/>
      <c r="G111" s="188"/>
      <c r="H111" s="188"/>
      <c r="I111" s="189"/>
    </row>
    <row r="112" spans="1:9" s="9" customFormat="1" hidden="1" x14ac:dyDescent="0.25">
      <c r="A112" s="181" t="s">
        <v>229</v>
      </c>
      <c r="B112" s="182" t="s">
        <v>233</v>
      </c>
      <c r="C112" s="182" t="s">
        <v>150</v>
      </c>
      <c r="D112" s="182" t="s">
        <v>153</v>
      </c>
      <c r="E112" s="182" t="s">
        <v>154</v>
      </c>
      <c r="F112" s="182" t="s">
        <v>156</v>
      </c>
      <c r="G112" s="182" t="s">
        <v>157</v>
      </c>
      <c r="H112" s="182" t="s">
        <v>58</v>
      </c>
      <c r="I112" s="182" t="s">
        <v>130</v>
      </c>
    </row>
    <row r="113" spans="1:9" s="9" customFormat="1" hidden="1" x14ac:dyDescent="0.25">
      <c r="A113" s="183"/>
      <c r="B113" s="184"/>
      <c r="C113" s="184" t="s">
        <v>151</v>
      </c>
      <c r="D113" s="184"/>
      <c r="E113" s="184" t="s">
        <v>155</v>
      </c>
      <c r="F113" s="184"/>
      <c r="G113" s="184"/>
      <c r="H113" s="184"/>
      <c r="I113" s="184"/>
    </row>
    <row r="114" spans="1:9" s="9" customFormat="1" hidden="1" x14ac:dyDescent="0.25">
      <c r="A114" s="185"/>
      <c r="B114" s="186"/>
      <c r="C114" s="186" t="s">
        <v>152</v>
      </c>
      <c r="D114" s="186"/>
      <c r="E114" s="186"/>
      <c r="F114" s="186"/>
      <c r="G114" s="186"/>
      <c r="H114" s="186"/>
      <c r="I114" s="186"/>
    </row>
    <row r="115" spans="1:9" s="9" customFormat="1" hidden="1" x14ac:dyDescent="0.25">
      <c r="A115" s="32" t="s">
        <v>75</v>
      </c>
      <c r="B115" s="96"/>
      <c r="C115" s="96"/>
      <c r="D115" s="96"/>
      <c r="E115" s="96"/>
      <c r="F115" s="96"/>
      <c r="G115" s="96"/>
      <c r="H115" s="96"/>
      <c r="I115" s="168">
        <f>SUM(B115:H115)</f>
        <v>0</v>
      </c>
    </row>
    <row r="116" spans="1:9" s="9" customFormat="1" hidden="1" x14ac:dyDescent="0.25">
      <c r="A116" s="32" t="s">
        <v>56</v>
      </c>
      <c r="B116" s="96"/>
      <c r="C116" s="96"/>
      <c r="D116" s="96"/>
      <c r="E116" s="96"/>
      <c r="F116" s="96"/>
      <c r="G116" s="96"/>
      <c r="H116" s="96"/>
      <c r="I116" s="168">
        <f t="shared" ref="I116:I122" si="8">SUM(B116:H116)</f>
        <v>0</v>
      </c>
    </row>
    <row r="117" spans="1:9" s="9" customFormat="1" hidden="1" x14ac:dyDescent="0.25">
      <c r="A117" s="32" t="s">
        <v>141</v>
      </c>
      <c r="B117" s="96"/>
      <c r="C117" s="96"/>
      <c r="D117" s="96"/>
      <c r="E117" s="96"/>
      <c r="F117" s="96"/>
      <c r="G117" s="96"/>
      <c r="H117" s="96"/>
      <c r="I117" s="168">
        <f t="shared" si="8"/>
        <v>0</v>
      </c>
    </row>
    <row r="118" spans="1:9" s="9" customFormat="1" hidden="1" x14ac:dyDescent="0.25">
      <c r="A118" s="32" t="s">
        <v>136</v>
      </c>
      <c r="B118" s="96"/>
      <c r="C118" s="96"/>
      <c r="D118" s="96"/>
      <c r="E118" s="96"/>
      <c r="F118" s="96"/>
      <c r="G118" s="96"/>
      <c r="H118" s="96"/>
      <c r="I118" s="168">
        <f t="shared" si="8"/>
        <v>0</v>
      </c>
    </row>
    <row r="119" spans="1:9" s="9" customFormat="1" hidden="1" x14ac:dyDescent="0.25">
      <c r="A119" s="32" t="s">
        <v>142</v>
      </c>
      <c r="B119" s="96"/>
      <c r="C119" s="96"/>
      <c r="D119" s="96"/>
      <c r="E119" s="96"/>
      <c r="F119" s="96"/>
      <c r="G119" s="96"/>
      <c r="H119" s="96"/>
      <c r="I119" s="168">
        <f t="shared" si="8"/>
        <v>0</v>
      </c>
    </row>
    <row r="120" spans="1:9" s="9" customFormat="1" hidden="1" x14ac:dyDescent="0.25">
      <c r="A120" s="32" t="s">
        <v>76</v>
      </c>
      <c r="B120" s="96"/>
      <c r="C120" s="96"/>
      <c r="D120" s="96"/>
      <c r="E120" s="96"/>
      <c r="F120" s="96"/>
      <c r="G120" s="96"/>
      <c r="H120" s="168"/>
      <c r="I120" s="168">
        <f t="shared" si="8"/>
        <v>0</v>
      </c>
    </row>
    <row r="121" spans="1:9" s="9" customFormat="1" hidden="1" x14ac:dyDescent="0.25">
      <c r="A121" s="32" t="s">
        <v>143</v>
      </c>
      <c r="B121" s="96"/>
      <c r="C121" s="96"/>
      <c r="D121" s="96"/>
      <c r="E121" s="96"/>
      <c r="F121" s="96"/>
      <c r="G121" s="96"/>
      <c r="H121" s="168"/>
      <c r="I121" s="168">
        <f t="shared" si="8"/>
        <v>0</v>
      </c>
    </row>
    <row r="122" spans="1:9" s="9" customFormat="1" hidden="1" x14ac:dyDescent="0.25">
      <c r="A122" s="31" t="s">
        <v>158</v>
      </c>
      <c r="B122" s="37"/>
      <c r="C122" s="37"/>
      <c r="D122" s="37"/>
      <c r="E122" s="37"/>
      <c r="F122" s="37"/>
      <c r="G122" s="37"/>
      <c r="H122" s="187"/>
      <c r="I122" s="187">
        <f t="shared" si="8"/>
        <v>0</v>
      </c>
    </row>
    <row r="123" spans="1:9" s="73" customFormat="1" hidden="1" x14ac:dyDescent="0.25">
      <c r="A123" s="190" t="s">
        <v>144</v>
      </c>
      <c r="B123" s="191"/>
      <c r="C123" s="191"/>
      <c r="D123" s="191"/>
      <c r="E123" s="191"/>
      <c r="F123" s="191"/>
      <c r="G123" s="191"/>
      <c r="H123" s="191"/>
      <c r="I123" s="192"/>
    </row>
    <row r="124" spans="1:9" s="73" customFormat="1" hidden="1" x14ac:dyDescent="0.25">
      <c r="A124" s="190" t="s">
        <v>145</v>
      </c>
      <c r="B124" s="191"/>
      <c r="C124" s="191"/>
      <c r="D124" s="191"/>
      <c r="E124" s="191"/>
      <c r="F124" s="191"/>
      <c r="G124" s="191"/>
      <c r="H124" s="191"/>
      <c r="I124" s="192"/>
    </row>
    <row r="125" spans="1:9" s="73" customFormat="1" hidden="1" x14ac:dyDescent="0.25">
      <c r="A125" s="190" t="s">
        <v>146</v>
      </c>
      <c r="B125" s="191"/>
      <c r="C125" s="191"/>
      <c r="D125" s="191"/>
      <c r="E125" s="191"/>
      <c r="F125" s="191"/>
      <c r="G125" s="191"/>
      <c r="H125" s="191"/>
      <c r="I125" s="192"/>
    </row>
    <row r="126" spans="1:9" s="73" customFormat="1" hidden="1" x14ac:dyDescent="0.25">
      <c r="A126" s="190" t="s">
        <v>147</v>
      </c>
      <c r="B126" s="191"/>
      <c r="C126" s="191"/>
      <c r="D126" s="191"/>
      <c r="E126" s="191"/>
      <c r="F126" s="191"/>
      <c r="G126" s="191"/>
      <c r="H126" s="191"/>
      <c r="I126" s="192"/>
    </row>
    <row r="127" spans="1:9" s="73" customFormat="1" hidden="1" x14ac:dyDescent="0.25">
      <c r="A127" s="190" t="s">
        <v>148</v>
      </c>
      <c r="B127" s="191"/>
      <c r="C127" s="191"/>
      <c r="D127" s="191"/>
      <c r="E127" s="191"/>
      <c r="F127" s="191"/>
      <c r="G127" s="191"/>
      <c r="H127" s="191"/>
      <c r="I127" s="192"/>
    </row>
    <row r="128" spans="1:9" s="73" customFormat="1" ht="12.75" hidden="1" customHeight="1" x14ac:dyDescent="0.25">
      <c r="A128" s="190" t="s">
        <v>149</v>
      </c>
      <c r="B128" s="191"/>
      <c r="C128" s="191"/>
      <c r="D128" s="191"/>
      <c r="E128" s="191"/>
      <c r="F128" s="191"/>
      <c r="G128" s="191"/>
      <c r="H128" s="191"/>
      <c r="I128" s="192"/>
    </row>
    <row r="129" spans="1:9" s="73" customFormat="1" ht="12.75" hidden="1" customHeight="1" x14ac:dyDescent="0.25">
      <c r="A129" s="190"/>
      <c r="B129" s="191"/>
      <c r="C129" s="191"/>
      <c r="D129" s="191"/>
      <c r="E129" s="191"/>
      <c r="F129" s="191"/>
      <c r="G129" s="191"/>
      <c r="H129" s="191"/>
      <c r="I129" s="192"/>
    </row>
    <row r="130" spans="1:9" s="73" customFormat="1" ht="12.75" hidden="1" customHeight="1" x14ac:dyDescent="0.25">
      <c r="A130" s="190"/>
      <c r="B130" s="191"/>
      <c r="C130" s="191"/>
      <c r="D130" s="191"/>
      <c r="E130" s="191"/>
      <c r="F130" s="191"/>
      <c r="G130" s="191"/>
      <c r="H130" s="191"/>
      <c r="I130" s="192"/>
    </row>
    <row r="131" spans="1:9" s="73" customFormat="1" ht="12.75" hidden="1" customHeight="1" thickBot="1" x14ac:dyDescent="0.3">
      <c r="A131" s="193"/>
      <c r="B131" s="194"/>
      <c r="C131" s="194"/>
      <c r="D131" s="194"/>
      <c r="E131" s="194"/>
      <c r="F131" s="194"/>
      <c r="G131" s="194"/>
      <c r="H131" s="194"/>
      <c r="I131" s="195"/>
    </row>
    <row r="132" spans="1:9" s="73" customFormat="1" ht="12.75" hidden="1" customHeight="1" thickTop="1" x14ac:dyDescent="0.25">
      <c r="A132" s="190"/>
      <c r="B132" s="191"/>
      <c r="C132" s="191"/>
      <c r="D132" s="191"/>
      <c r="E132" s="191"/>
      <c r="F132" s="191"/>
      <c r="G132" s="191"/>
      <c r="H132" s="191"/>
      <c r="I132" s="192"/>
    </row>
    <row r="133" spans="1:9" s="73" customFormat="1" ht="12.75" hidden="1" customHeight="1" x14ac:dyDescent="0.25">
      <c r="A133" s="190"/>
      <c r="B133" s="191"/>
      <c r="C133" s="191"/>
      <c r="D133" s="191"/>
      <c r="E133" s="191"/>
      <c r="F133" s="191"/>
      <c r="G133" s="191"/>
      <c r="H133" s="191"/>
      <c r="I133" s="192"/>
    </row>
    <row r="134" spans="1:9" s="73" customFormat="1" ht="12.75" hidden="1" customHeight="1" x14ac:dyDescent="0.25">
      <c r="A134" s="190"/>
      <c r="B134" s="191"/>
      <c r="C134" s="191"/>
      <c r="D134" s="191"/>
      <c r="E134" s="191"/>
      <c r="F134" s="191"/>
      <c r="G134" s="191"/>
      <c r="H134" s="191"/>
      <c r="I134" s="192"/>
    </row>
    <row r="135" spans="1:9" s="73" customFormat="1" hidden="1" x14ac:dyDescent="0.25">
      <c r="A135" s="317" t="s">
        <v>39</v>
      </c>
      <c r="B135" s="318"/>
      <c r="C135" s="318"/>
      <c r="D135" s="318"/>
      <c r="E135" s="318"/>
      <c r="F135" s="318"/>
      <c r="G135" s="318"/>
      <c r="H135" s="318"/>
      <c r="I135" s="319"/>
    </row>
    <row r="136" spans="1:9" s="73" customFormat="1" hidden="1" x14ac:dyDescent="0.25">
      <c r="A136" s="317" t="s">
        <v>228</v>
      </c>
      <c r="B136" s="318"/>
      <c r="C136" s="318"/>
      <c r="D136" s="318"/>
      <c r="E136" s="318"/>
      <c r="F136" s="318"/>
      <c r="G136" s="318"/>
      <c r="H136" s="318"/>
      <c r="I136" s="319"/>
    </row>
    <row r="137" spans="1:9" s="73" customFormat="1" hidden="1" x14ac:dyDescent="0.25">
      <c r="A137" s="317" t="s">
        <v>256</v>
      </c>
      <c r="B137" s="318"/>
      <c r="C137" s="318"/>
      <c r="D137" s="318"/>
      <c r="E137" s="318"/>
      <c r="F137" s="318"/>
      <c r="G137" s="318"/>
      <c r="H137" s="318"/>
      <c r="I137" s="319"/>
    </row>
    <row r="138" spans="1:9" s="73" customFormat="1" hidden="1" x14ac:dyDescent="0.25">
      <c r="A138" s="314"/>
      <c r="B138" s="315"/>
      <c r="C138" s="315"/>
      <c r="D138" s="315"/>
      <c r="E138" s="315"/>
      <c r="F138" s="315"/>
      <c r="G138" s="315"/>
      <c r="H138" s="315"/>
      <c r="I138" s="316"/>
    </row>
    <row r="139" spans="1:9" s="9" customFormat="1" ht="19.5" hidden="1" customHeight="1" x14ac:dyDescent="0.25">
      <c r="A139" s="178" t="s">
        <v>265</v>
      </c>
      <c r="B139" s="179"/>
      <c r="C139" s="179"/>
      <c r="D139" s="179"/>
      <c r="E139" s="179"/>
      <c r="F139" s="179"/>
      <c r="G139" s="179"/>
      <c r="H139" s="179"/>
      <c r="I139" s="180"/>
    </row>
    <row r="140" spans="1:9" s="9" customFormat="1" hidden="1" x14ac:dyDescent="0.25">
      <c r="A140" s="181" t="s">
        <v>229</v>
      </c>
      <c r="B140" s="182" t="s">
        <v>233</v>
      </c>
      <c r="C140" s="182" t="s">
        <v>150</v>
      </c>
      <c r="D140" s="182" t="s">
        <v>153</v>
      </c>
      <c r="E140" s="182" t="s">
        <v>154</v>
      </c>
      <c r="F140" s="182" t="s">
        <v>156</v>
      </c>
      <c r="G140" s="182" t="s">
        <v>157</v>
      </c>
      <c r="H140" s="182" t="s">
        <v>58</v>
      </c>
      <c r="I140" s="182" t="s">
        <v>130</v>
      </c>
    </row>
    <row r="141" spans="1:9" s="9" customFormat="1" hidden="1" x14ac:dyDescent="0.25">
      <c r="A141" s="183"/>
      <c r="B141" s="184"/>
      <c r="C141" s="184" t="s">
        <v>151</v>
      </c>
      <c r="D141" s="184"/>
      <c r="E141" s="184" t="s">
        <v>155</v>
      </c>
      <c r="F141" s="184"/>
      <c r="G141" s="184"/>
      <c r="H141" s="184"/>
      <c r="I141" s="184"/>
    </row>
    <row r="142" spans="1:9" s="9" customFormat="1" hidden="1" x14ac:dyDescent="0.25">
      <c r="A142" s="185"/>
      <c r="B142" s="186"/>
      <c r="C142" s="186" t="s">
        <v>152</v>
      </c>
      <c r="D142" s="186"/>
      <c r="E142" s="186"/>
      <c r="F142" s="186"/>
      <c r="G142" s="186"/>
      <c r="H142" s="186"/>
      <c r="I142" s="186"/>
    </row>
    <row r="143" spans="1:9" s="9" customFormat="1" hidden="1" x14ac:dyDescent="0.25">
      <c r="A143" s="31" t="s">
        <v>133</v>
      </c>
      <c r="B143" s="32"/>
      <c r="C143" s="32"/>
      <c r="D143" s="32"/>
      <c r="E143" s="32"/>
      <c r="F143" s="32"/>
      <c r="G143" s="32"/>
      <c r="H143" s="32"/>
      <c r="I143" s="32"/>
    </row>
    <row r="144" spans="1:9" s="9" customFormat="1" hidden="1" x14ac:dyDescent="0.25">
      <c r="A144" s="32" t="s">
        <v>134</v>
      </c>
      <c r="B144" s="168">
        <v>0</v>
      </c>
      <c r="C144" s="168"/>
      <c r="D144" s="168"/>
      <c r="E144" s="168"/>
      <c r="F144" s="168"/>
      <c r="G144" s="168"/>
      <c r="H144" s="168"/>
      <c r="I144" s="168">
        <f>SUM(B144:H144)</f>
        <v>0</v>
      </c>
    </row>
    <row r="145" spans="1:9" s="9" customFormat="1" hidden="1" x14ac:dyDescent="0.25">
      <c r="A145" s="32" t="s">
        <v>54</v>
      </c>
      <c r="B145" s="168"/>
      <c r="C145" s="168"/>
      <c r="D145" s="168"/>
      <c r="E145" s="168"/>
      <c r="F145" s="168"/>
      <c r="G145" s="168"/>
      <c r="H145" s="168"/>
      <c r="I145" s="168">
        <f t="shared" ref="I145:I153" si="9">SUM(B145:H145)</f>
        <v>0</v>
      </c>
    </row>
    <row r="146" spans="1:9" s="9" customFormat="1" hidden="1" x14ac:dyDescent="0.25">
      <c r="A146" s="32" t="s">
        <v>55</v>
      </c>
      <c r="B146" s="168"/>
      <c r="C146" s="168"/>
      <c r="D146" s="168"/>
      <c r="E146" s="168"/>
      <c r="F146" s="168"/>
      <c r="G146" s="168"/>
      <c r="H146" s="168"/>
      <c r="I146" s="168">
        <f t="shared" si="9"/>
        <v>0</v>
      </c>
    </row>
    <row r="147" spans="1:9" s="9" customFormat="1" hidden="1" x14ac:dyDescent="0.25">
      <c r="A147" s="32" t="s">
        <v>56</v>
      </c>
      <c r="B147" s="168"/>
      <c r="C147" s="168"/>
      <c r="D147" s="168"/>
      <c r="E147" s="168"/>
      <c r="F147" s="168"/>
      <c r="G147" s="168"/>
      <c r="H147" s="168"/>
      <c r="I147" s="168">
        <f t="shared" si="9"/>
        <v>0</v>
      </c>
    </row>
    <row r="148" spans="1:9" s="9" customFormat="1" hidden="1" x14ac:dyDescent="0.25">
      <c r="A148" s="32" t="s">
        <v>135</v>
      </c>
      <c r="B148" s="168"/>
      <c r="C148" s="168"/>
      <c r="D148" s="168"/>
      <c r="E148" s="168"/>
      <c r="F148" s="168"/>
      <c r="G148" s="168"/>
      <c r="H148" s="168"/>
      <c r="I148" s="168">
        <f t="shared" si="9"/>
        <v>0</v>
      </c>
    </row>
    <row r="149" spans="1:9" s="9" customFormat="1" hidden="1" x14ac:dyDescent="0.25">
      <c r="A149" s="32" t="s">
        <v>136</v>
      </c>
      <c r="B149" s="168"/>
      <c r="C149" s="168"/>
      <c r="D149" s="168"/>
      <c r="E149" s="168"/>
      <c r="F149" s="168"/>
      <c r="G149" s="168"/>
      <c r="H149" s="168"/>
      <c r="I149" s="168">
        <f t="shared" si="9"/>
        <v>0</v>
      </c>
    </row>
    <row r="150" spans="1:9" s="9" customFormat="1" hidden="1" x14ac:dyDescent="0.25">
      <c r="A150" s="32" t="s">
        <v>137</v>
      </c>
      <c r="B150" s="168"/>
      <c r="C150" s="168"/>
      <c r="D150" s="168"/>
      <c r="E150" s="168"/>
      <c r="F150" s="168"/>
      <c r="G150" s="168"/>
      <c r="H150" s="168"/>
      <c r="I150" s="168">
        <f t="shared" si="9"/>
        <v>0</v>
      </c>
    </row>
    <row r="151" spans="1:9" s="9" customFormat="1" hidden="1" x14ac:dyDescent="0.25">
      <c r="A151" s="32" t="s">
        <v>185</v>
      </c>
      <c r="B151" s="168"/>
      <c r="C151" s="168"/>
      <c r="D151" s="168"/>
      <c r="E151" s="168"/>
      <c r="F151" s="168"/>
      <c r="G151" s="168"/>
      <c r="H151" s="168"/>
      <c r="I151" s="168">
        <f t="shared" si="9"/>
        <v>0</v>
      </c>
    </row>
    <row r="152" spans="1:9" s="9" customFormat="1" hidden="1" x14ac:dyDescent="0.25">
      <c r="A152" s="32" t="s">
        <v>58</v>
      </c>
      <c r="B152" s="168"/>
      <c r="C152" s="168"/>
      <c r="D152" s="168"/>
      <c r="E152" s="168"/>
      <c r="F152" s="168"/>
      <c r="G152" s="168"/>
      <c r="H152" s="168"/>
      <c r="I152" s="168">
        <f t="shared" si="9"/>
        <v>0</v>
      </c>
    </row>
    <row r="153" spans="1:9" s="9" customFormat="1" hidden="1" x14ac:dyDescent="0.25">
      <c r="A153" s="32" t="s">
        <v>138</v>
      </c>
      <c r="B153" s="168"/>
      <c r="C153" s="168"/>
      <c r="D153" s="201">
        <v>536400655</v>
      </c>
      <c r="E153" s="201"/>
      <c r="F153" s="201">
        <v>254857268</v>
      </c>
      <c r="G153" s="168"/>
      <c r="H153" s="168"/>
      <c r="I153" s="168">
        <f t="shared" si="9"/>
        <v>791257923</v>
      </c>
    </row>
    <row r="154" spans="1:9" s="10" customFormat="1" hidden="1" x14ac:dyDescent="0.25">
      <c r="A154" s="31" t="s">
        <v>139</v>
      </c>
      <c r="B154" s="187"/>
      <c r="C154" s="187"/>
      <c r="D154" s="187">
        <f>SUM(D144:D153)</f>
        <v>536400655</v>
      </c>
      <c r="E154" s="187"/>
      <c r="F154" s="187">
        <f>SUM(F144:F153)</f>
        <v>254857268</v>
      </c>
      <c r="G154" s="187"/>
      <c r="H154" s="187"/>
      <c r="I154" s="187">
        <f>SUM(I144:I153)</f>
        <v>791257923</v>
      </c>
    </row>
    <row r="155" spans="1:9" s="9" customFormat="1" ht="18" hidden="1" customHeight="1" x14ac:dyDescent="0.25">
      <c r="A155" s="113"/>
      <c r="B155" s="188"/>
      <c r="C155" s="188"/>
      <c r="D155" s="188"/>
      <c r="E155" s="188"/>
      <c r="F155" s="188"/>
      <c r="G155" s="188"/>
      <c r="H155" s="188"/>
      <c r="I155" s="189"/>
    </row>
    <row r="156" spans="1:9" s="9" customFormat="1" hidden="1" x14ac:dyDescent="0.25">
      <c r="A156" s="181" t="s">
        <v>229</v>
      </c>
      <c r="B156" s="182" t="s">
        <v>233</v>
      </c>
      <c r="C156" s="182" t="s">
        <v>150</v>
      </c>
      <c r="D156" s="182" t="s">
        <v>153</v>
      </c>
      <c r="E156" s="182" t="s">
        <v>154</v>
      </c>
      <c r="F156" s="182" t="s">
        <v>156</v>
      </c>
      <c r="G156" s="182" t="s">
        <v>157</v>
      </c>
      <c r="H156" s="182" t="s">
        <v>58</v>
      </c>
      <c r="I156" s="182" t="s">
        <v>130</v>
      </c>
    </row>
    <row r="157" spans="1:9" s="9" customFormat="1" hidden="1" x14ac:dyDescent="0.25">
      <c r="A157" s="183"/>
      <c r="B157" s="184"/>
      <c r="C157" s="184" t="s">
        <v>151</v>
      </c>
      <c r="D157" s="184"/>
      <c r="E157" s="184" t="s">
        <v>155</v>
      </c>
      <c r="F157" s="184"/>
      <c r="G157" s="184"/>
      <c r="H157" s="184"/>
      <c r="I157" s="184"/>
    </row>
    <row r="158" spans="1:9" s="9" customFormat="1" hidden="1" x14ac:dyDescent="0.25">
      <c r="A158" s="185"/>
      <c r="B158" s="186"/>
      <c r="C158" s="186" t="s">
        <v>152</v>
      </c>
      <c r="D158" s="186"/>
      <c r="E158" s="186"/>
      <c r="F158" s="186"/>
      <c r="G158" s="186"/>
      <c r="H158" s="186"/>
      <c r="I158" s="186"/>
    </row>
    <row r="159" spans="1:9" s="9" customFormat="1" hidden="1" x14ac:dyDescent="0.25">
      <c r="A159" s="31" t="s">
        <v>140</v>
      </c>
      <c r="B159" s="32"/>
      <c r="C159" s="32"/>
      <c r="D159" s="74"/>
      <c r="E159" s="32"/>
      <c r="F159" s="32"/>
      <c r="G159" s="32"/>
      <c r="H159" s="32"/>
      <c r="I159" s="32"/>
    </row>
    <row r="160" spans="1:9" s="9" customFormat="1" hidden="1" x14ac:dyDescent="0.25">
      <c r="A160" s="32" t="s">
        <v>75</v>
      </c>
      <c r="B160" s="96"/>
      <c r="C160" s="96"/>
      <c r="D160" s="196"/>
      <c r="E160" s="96"/>
      <c r="F160" s="96"/>
      <c r="G160" s="96"/>
      <c r="H160" s="96"/>
      <c r="I160" s="168">
        <f>SUM(B160:H160)</f>
        <v>0</v>
      </c>
    </row>
    <row r="161" spans="1:9" s="9" customFormat="1" hidden="1" x14ac:dyDescent="0.25">
      <c r="A161" s="32" t="s">
        <v>56</v>
      </c>
      <c r="B161" s="96"/>
      <c r="C161" s="96"/>
      <c r="D161" s="120"/>
      <c r="E161" s="96"/>
      <c r="F161" s="96"/>
      <c r="G161" s="96"/>
      <c r="H161" s="96"/>
      <c r="I161" s="168">
        <f t="shared" ref="I161:I167" si="10">SUM(B161:H161)</f>
        <v>0</v>
      </c>
    </row>
    <row r="162" spans="1:9" s="9" customFormat="1" hidden="1" x14ac:dyDescent="0.25">
      <c r="A162" s="32" t="s">
        <v>141</v>
      </c>
      <c r="B162" s="96"/>
      <c r="C162" s="96"/>
      <c r="D162" s="120"/>
      <c r="E162" s="96"/>
      <c r="F162" s="96"/>
      <c r="G162" s="96"/>
      <c r="H162" s="96"/>
      <c r="I162" s="168">
        <f t="shared" si="10"/>
        <v>0</v>
      </c>
    </row>
    <row r="163" spans="1:9" s="9" customFormat="1" hidden="1" x14ac:dyDescent="0.25">
      <c r="A163" s="32" t="s">
        <v>136</v>
      </c>
      <c r="B163" s="96"/>
      <c r="C163" s="96"/>
      <c r="D163" s="120"/>
      <c r="E163" s="96"/>
      <c r="F163" s="96"/>
      <c r="G163" s="96"/>
      <c r="H163" s="96"/>
      <c r="I163" s="168">
        <f t="shared" si="10"/>
        <v>0</v>
      </c>
    </row>
    <row r="164" spans="1:9" s="9" customFormat="1" hidden="1" x14ac:dyDescent="0.25">
      <c r="A164" s="32" t="s">
        <v>142</v>
      </c>
      <c r="B164" s="96"/>
      <c r="C164" s="96"/>
      <c r="D164" s="196"/>
      <c r="E164" s="96"/>
      <c r="F164" s="96"/>
      <c r="G164" s="96"/>
      <c r="H164" s="96"/>
      <c r="I164" s="168">
        <f t="shared" si="10"/>
        <v>0</v>
      </c>
    </row>
    <row r="165" spans="1:9" s="9" customFormat="1" hidden="1" x14ac:dyDescent="0.25">
      <c r="A165" s="32" t="s">
        <v>76</v>
      </c>
      <c r="B165" s="96"/>
      <c r="C165" s="96"/>
      <c r="D165" s="120"/>
      <c r="E165" s="96"/>
      <c r="F165" s="96"/>
      <c r="G165" s="96"/>
      <c r="H165" s="168"/>
      <c r="I165" s="168">
        <f t="shared" si="10"/>
        <v>0</v>
      </c>
    </row>
    <row r="166" spans="1:9" s="9" customFormat="1" hidden="1" x14ac:dyDescent="0.25">
      <c r="A166" s="32" t="s">
        <v>143</v>
      </c>
      <c r="B166" s="96"/>
      <c r="C166" s="96"/>
      <c r="D166" s="120"/>
      <c r="E166" s="96"/>
      <c r="F166" s="96"/>
      <c r="G166" s="96"/>
      <c r="H166" s="168"/>
      <c r="I166" s="168">
        <f t="shared" si="10"/>
        <v>0</v>
      </c>
    </row>
    <row r="167" spans="1:9" s="9" customFormat="1" ht="12" hidden="1" customHeight="1" x14ac:dyDescent="0.25">
      <c r="A167" s="31" t="s">
        <v>158</v>
      </c>
      <c r="B167" s="37"/>
      <c r="C167" s="37"/>
      <c r="D167" s="197"/>
      <c r="E167" s="37"/>
      <c r="F167" s="37"/>
      <c r="G167" s="37"/>
      <c r="H167" s="187"/>
      <c r="I167" s="187">
        <f t="shared" si="10"/>
        <v>0</v>
      </c>
    </row>
    <row r="168" spans="1:9" s="73" customFormat="1" hidden="1" x14ac:dyDescent="0.25">
      <c r="A168" s="190" t="s">
        <v>144</v>
      </c>
      <c r="B168" s="191"/>
      <c r="C168" s="191"/>
      <c r="D168" s="191"/>
      <c r="E168" s="191"/>
      <c r="F168" s="191"/>
      <c r="G168" s="191"/>
      <c r="H168" s="191"/>
      <c r="I168" s="192"/>
    </row>
    <row r="169" spans="1:9" s="73" customFormat="1" hidden="1" x14ac:dyDescent="0.25">
      <c r="A169" s="190" t="s">
        <v>145</v>
      </c>
      <c r="B169" s="191"/>
      <c r="C169" s="191"/>
      <c r="D169" s="191"/>
      <c r="E169" s="191"/>
      <c r="F169" s="191"/>
      <c r="G169" s="191"/>
      <c r="H169" s="191"/>
      <c r="I169" s="192"/>
    </row>
    <row r="170" spans="1:9" s="73" customFormat="1" hidden="1" x14ac:dyDescent="0.25">
      <c r="A170" s="190" t="s">
        <v>146</v>
      </c>
      <c r="B170" s="191"/>
      <c r="C170" s="191"/>
      <c r="D170" s="191"/>
      <c r="E170" s="191"/>
      <c r="F170" s="191"/>
      <c r="G170" s="191"/>
      <c r="H170" s="191"/>
      <c r="I170" s="192"/>
    </row>
    <row r="171" spans="1:9" s="73" customFormat="1" hidden="1" x14ac:dyDescent="0.25">
      <c r="A171" s="190" t="s">
        <v>147</v>
      </c>
      <c r="B171" s="191"/>
      <c r="C171" s="191"/>
      <c r="D171" s="191"/>
      <c r="E171" s="191"/>
      <c r="F171" s="191"/>
      <c r="G171" s="191"/>
      <c r="H171" s="191"/>
      <c r="I171" s="192"/>
    </row>
    <row r="172" spans="1:9" s="73" customFormat="1" hidden="1" x14ac:dyDescent="0.25">
      <c r="A172" s="190" t="s">
        <v>148</v>
      </c>
      <c r="B172" s="191"/>
      <c r="C172" s="191"/>
      <c r="D172" s="191"/>
      <c r="E172" s="191"/>
      <c r="F172" s="191"/>
      <c r="G172" s="191"/>
      <c r="H172" s="191"/>
      <c r="I172" s="192"/>
    </row>
    <row r="173" spans="1:9" s="73" customFormat="1" hidden="1" x14ac:dyDescent="0.25">
      <c r="A173" s="190" t="s">
        <v>149</v>
      </c>
      <c r="B173" s="191"/>
      <c r="C173" s="191"/>
      <c r="D173" s="191"/>
      <c r="E173" s="191"/>
      <c r="F173" s="191"/>
      <c r="G173" s="191"/>
      <c r="H173" s="191"/>
      <c r="I173" s="192"/>
    </row>
    <row r="174" spans="1:9" s="73" customFormat="1" hidden="1" x14ac:dyDescent="0.25">
      <c r="A174" s="198"/>
      <c r="B174" s="199"/>
      <c r="C174" s="199"/>
      <c r="D174" s="199"/>
      <c r="E174" s="199"/>
      <c r="F174" s="199"/>
      <c r="G174" s="199"/>
      <c r="H174" s="199"/>
      <c r="I174" s="200"/>
    </row>
    <row r="175" spans="1:9" s="9" customFormat="1" x14ac:dyDescent="0.25"/>
    <row r="176" spans="1:9" s="9" customFormat="1" x14ac:dyDescent="0.25"/>
    <row r="177" s="9" customFormat="1" x14ac:dyDescent="0.25"/>
    <row r="178" s="9" customFormat="1" x14ac:dyDescent="0.25"/>
  </sheetData>
  <mergeCells count="17">
    <mergeCell ref="A5:I5"/>
    <mergeCell ref="A46:I46"/>
    <mergeCell ref="A1:I1"/>
    <mergeCell ref="A2:I2"/>
    <mergeCell ref="A4:I4"/>
    <mergeCell ref="A3:I3"/>
    <mergeCell ref="A138:I138"/>
    <mergeCell ref="A136:I136"/>
    <mergeCell ref="A135:I135"/>
    <mergeCell ref="A47:I47"/>
    <mergeCell ref="A137:I137"/>
    <mergeCell ref="A91:I91"/>
    <mergeCell ref="A92:I92"/>
    <mergeCell ref="A94:I94"/>
    <mergeCell ref="A93:I93"/>
    <mergeCell ref="A48:I48"/>
    <mergeCell ref="A50:I50"/>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selection activeCell="N19" sqref="N19"/>
    </sheetView>
  </sheetViews>
  <sheetFormatPr defaultRowHeight="15" x14ac:dyDescent="0.25"/>
  <cols>
    <col min="1" max="1" width="60.85546875" style="249" customWidth="1"/>
    <col min="2" max="2" width="15.5703125" style="249" bestFit="1" customWidth="1"/>
    <col min="3" max="3" width="16.5703125" style="249" bestFit="1" customWidth="1"/>
    <col min="4" max="4" width="15.5703125" style="249" hidden="1" customWidth="1"/>
    <col min="5" max="5" width="16.5703125" style="249" hidden="1" customWidth="1"/>
    <col min="6" max="16384" width="9.140625" style="249"/>
  </cols>
  <sheetData>
    <row r="1" spans="1:5" ht="15.75" x14ac:dyDescent="0.25">
      <c r="A1" s="333" t="s">
        <v>39</v>
      </c>
      <c r="B1" s="334"/>
      <c r="C1" s="334"/>
      <c r="D1" s="247"/>
      <c r="E1" s="248"/>
    </row>
    <row r="2" spans="1:5" ht="15.75" x14ac:dyDescent="0.25">
      <c r="A2" s="335" t="s">
        <v>266</v>
      </c>
      <c r="B2" s="336"/>
      <c r="C2" s="336"/>
      <c r="D2" s="250"/>
      <c r="E2" s="251"/>
    </row>
    <row r="3" spans="1:5" ht="15.75" x14ac:dyDescent="0.25">
      <c r="A3" s="335" t="s">
        <v>336</v>
      </c>
      <c r="B3" s="336"/>
      <c r="C3" s="336"/>
      <c r="D3" s="250"/>
      <c r="E3" s="251"/>
    </row>
    <row r="4" spans="1:5" ht="15.75" x14ac:dyDescent="0.25">
      <c r="A4" s="329"/>
      <c r="B4" s="330"/>
      <c r="C4" s="330"/>
      <c r="D4" s="330"/>
      <c r="E4" s="331"/>
    </row>
    <row r="5" spans="1:5" ht="15.75" x14ac:dyDescent="0.25">
      <c r="A5" s="252"/>
      <c r="B5" s="332" t="s">
        <v>335</v>
      </c>
      <c r="C5" s="332"/>
      <c r="D5" s="332" t="s">
        <v>267</v>
      </c>
      <c r="E5" s="332"/>
    </row>
    <row r="6" spans="1:5" ht="15.75" x14ac:dyDescent="0.25">
      <c r="A6" s="253" t="s">
        <v>1</v>
      </c>
      <c r="B6" s="254" t="s">
        <v>238</v>
      </c>
      <c r="C6" s="254" t="s">
        <v>237</v>
      </c>
      <c r="D6" s="254" t="s">
        <v>238</v>
      </c>
      <c r="E6" s="254" t="s">
        <v>237</v>
      </c>
    </row>
    <row r="7" spans="1:5" ht="15.75" x14ac:dyDescent="0.25">
      <c r="A7" s="255"/>
      <c r="B7" s="243" t="s">
        <v>342</v>
      </c>
      <c r="C7" s="243" t="s">
        <v>320</v>
      </c>
      <c r="D7" s="243" t="s">
        <v>320</v>
      </c>
      <c r="E7" s="243" t="s">
        <v>257</v>
      </c>
    </row>
    <row r="8" spans="1:5" ht="15.75" x14ac:dyDescent="0.25">
      <c r="A8" s="256"/>
      <c r="B8" s="257"/>
      <c r="C8" s="257" t="s">
        <v>252</v>
      </c>
      <c r="D8" s="257" t="s">
        <v>252</v>
      </c>
      <c r="E8" s="257" t="s">
        <v>252</v>
      </c>
    </row>
    <row r="9" spans="1:5" ht="15.75" x14ac:dyDescent="0.25">
      <c r="A9" s="258" t="s">
        <v>268</v>
      </c>
      <c r="B9" s="259"/>
      <c r="C9" s="259"/>
      <c r="D9" s="259"/>
      <c r="E9" s="259"/>
    </row>
    <row r="10" spans="1:5" ht="15.75" x14ac:dyDescent="0.25">
      <c r="A10" s="258" t="s">
        <v>269</v>
      </c>
      <c r="B10" s="262">
        <v>803406</v>
      </c>
      <c r="C10" s="262">
        <f>1111942617/1000</f>
        <v>1111942.6170000001</v>
      </c>
      <c r="D10" s="261">
        <v>-31481922</v>
      </c>
      <c r="E10" s="261">
        <v>-24787940</v>
      </c>
    </row>
    <row r="11" spans="1:5" ht="15.75" x14ac:dyDescent="0.25">
      <c r="A11" s="260"/>
      <c r="B11" s="261"/>
      <c r="C11" s="261"/>
      <c r="D11" s="261"/>
      <c r="E11" s="261"/>
    </row>
    <row r="12" spans="1:5" ht="15.75" x14ac:dyDescent="0.25">
      <c r="A12" s="260" t="s">
        <v>270</v>
      </c>
      <c r="B12" s="261"/>
      <c r="C12" s="261"/>
      <c r="D12" s="261"/>
      <c r="E12" s="261"/>
    </row>
    <row r="13" spans="1:5" ht="15.75" x14ac:dyDescent="0.25">
      <c r="A13" s="260" t="s">
        <v>271</v>
      </c>
      <c r="B13" s="261">
        <v>-9995</v>
      </c>
      <c r="C13" s="261">
        <f>14370910/1000</f>
        <v>14370.91</v>
      </c>
      <c r="D13" s="261">
        <v>70409886</v>
      </c>
      <c r="E13" s="261">
        <v>73100155</v>
      </c>
    </row>
    <row r="14" spans="1:5" ht="15.75" x14ac:dyDescent="0.25">
      <c r="A14" s="260" t="s">
        <v>272</v>
      </c>
      <c r="B14" s="261">
        <v>1694658</v>
      </c>
      <c r="C14" s="261">
        <f>2651145809/1000</f>
        <v>2651145.8089999999</v>
      </c>
      <c r="D14" s="261">
        <v>212285395</v>
      </c>
      <c r="E14" s="261">
        <v>23488541</v>
      </c>
    </row>
    <row r="15" spans="1:5" ht="15.75" x14ac:dyDescent="0.25">
      <c r="A15" s="260" t="s">
        <v>273</v>
      </c>
      <c r="B15" s="261">
        <v>652783</v>
      </c>
      <c r="C15" s="261">
        <f>893619545/1000</f>
        <v>893619.54500000004</v>
      </c>
      <c r="D15" s="261">
        <v>-256415661</v>
      </c>
      <c r="E15" s="261">
        <v>-89644466</v>
      </c>
    </row>
    <row r="16" spans="1:5" ht="15.75" x14ac:dyDescent="0.25">
      <c r="A16" s="260" t="s">
        <v>274</v>
      </c>
      <c r="B16" s="261">
        <v>0</v>
      </c>
      <c r="C16" s="261">
        <f>-490000/1000</f>
        <v>-490</v>
      </c>
      <c r="D16" s="261"/>
      <c r="E16" s="261"/>
    </row>
    <row r="17" spans="1:5" ht="15.75" x14ac:dyDescent="0.25">
      <c r="A17" s="260" t="s">
        <v>275</v>
      </c>
      <c r="B17" s="261">
        <v>0</v>
      </c>
      <c r="C17" s="261">
        <f>-27498/1000</f>
        <v>-27.498000000000001</v>
      </c>
      <c r="D17" s="261"/>
      <c r="E17" s="261"/>
    </row>
    <row r="18" spans="1:5" ht="15.75" x14ac:dyDescent="0.25">
      <c r="A18" s="260" t="s">
        <v>276</v>
      </c>
      <c r="B18" s="261">
        <v>0</v>
      </c>
      <c r="C18" s="261">
        <v>0</v>
      </c>
      <c r="D18" s="261"/>
      <c r="E18" s="261"/>
    </row>
    <row r="19" spans="1:5" ht="15.75" x14ac:dyDescent="0.25">
      <c r="A19" s="260" t="s">
        <v>277</v>
      </c>
      <c r="B19" s="261">
        <v>0</v>
      </c>
      <c r="C19" s="261">
        <v>0</v>
      </c>
      <c r="D19" s="261">
        <v>4487038</v>
      </c>
      <c r="E19" s="261">
        <v>5690190</v>
      </c>
    </row>
    <row r="20" spans="1:5" ht="15.75" x14ac:dyDescent="0.25">
      <c r="A20" s="260" t="s">
        <v>278</v>
      </c>
      <c r="B20" s="261">
        <v>0</v>
      </c>
      <c r="C20" s="261">
        <v>0</v>
      </c>
      <c r="D20" s="261"/>
      <c r="E20" s="261"/>
    </row>
    <row r="21" spans="1:5" ht="15.75" x14ac:dyDescent="0.25">
      <c r="A21" s="260" t="s">
        <v>279</v>
      </c>
      <c r="B21" s="261">
        <f>0/1000</f>
        <v>0</v>
      </c>
      <c r="C21" s="261">
        <f>0/1000</f>
        <v>0</v>
      </c>
      <c r="D21" s="261"/>
      <c r="E21" s="261"/>
    </row>
    <row r="22" spans="1:5" ht="15.75" x14ac:dyDescent="0.25">
      <c r="A22" s="260" t="s">
        <v>280</v>
      </c>
      <c r="B22" s="261">
        <v>-170462</v>
      </c>
      <c r="C22" s="261">
        <f>-126975462/1000</f>
        <v>-126975.462</v>
      </c>
      <c r="D22" s="261">
        <v>-4334237</v>
      </c>
      <c r="E22" s="261">
        <v>-3361888</v>
      </c>
    </row>
    <row r="23" spans="1:5" ht="15.75" x14ac:dyDescent="0.25">
      <c r="A23" s="258" t="s">
        <v>281</v>
      </c>
      <c r="B23" s="262">
        <f>SUM(B10:B22)</f>
        <v>2970390</v>
      </c>
      <c r="C23" s="262">
        <f>SUM(C10:C22)</f>
        <v>4543585.9210000001</v>
      </c>
      <c r="D23" s="262">
        <f>SUM(D10:D22)</f>
        <v>-5049501</v>
      </c>
      <c r="E23" s="262">
        <f>SUM(E10:E22)</f>
        <v>-15515408</v>
      </c>
    </row>
    <row r="24" spans="1:5" ht="15.75" x14ac:dyDescent="0.25">
      <c r="A24" s="260"/>
      <c r="B24" s="261"/>
      <c r="C24" s="261"/>
      <c r="D24" s="261"/>
      <c r="E24" s="261"/>
    </row>
    <row r="25" spans="1:5" ht="15.75" x14ac:dyDescent="0.25">
      <c r="A25" s="258" t="s">
        <v>282</v>
      </c>
      <c r="B25" s="262"/>
      <c r="C25" s="262"/>
      <c r="D25" s="262"/>
      <c r="E25" s="262"/>
    </row>
    <row r="26" spans="1:5" ht="15.75" x14ac:dyDescent="0.25">
      <c r="A26" s="260" t="s">
        <v>283</v>
      </c>
      <c r="B26" s="261">
        <v>-3157</v>
      </c>
      <c r="C26" s="261">
        <f>-3340140/1000</f>
        <v>-3340.14</v>
      </c>
      <c r="D26" s="261">
        <v>-1418370</v>
      </c>
      <c r="E26" s="261">
        <v>-12512813</v>
      </c>
    </row>
    <row r="27" spans="1:5" ht="15.75" x14ac:dyDescent="0.25">
      <c r="A27" s="260" t="s">
        <v>284</v>
      </c>
      <c r="B27" s="261">
        <v>8</v>
      </c>
      <c r="C27" s="261">
        <f>0/1000</f>
        <v>0</v>
      </c>
      <c r="D27" s="261">
        <v>69794</v>
      </c>
      <c r="E27" s="261">
        <v>9977259</v>
      </c>
    </row>
    <row r="28" spans="1:5" ht="15.75" x14ac:dyDescent="0.25">
      <c r="A28" s="260" t="s">
        <v>285</v>
      </c>
      <c r="B28" s="261">
        <v>566565</v>
      </c>
      <c r="C28" s="261">
        <f>-936137991/1000</f>
        <v>-936137.99100000004</v>
      </c>
      <c r="D28" s="261"/>
      <c r="E28" s="261"/>
    </row>
    <row r="29" spans="1:5" ht="15.75" x14ac:dyDescent="0.25">
      <c r="A29" s="260" t="s">
        <v>286</v>
      </c>
      <c r="B29" s="261"/>
      <c r="C29" s="261"/>
      <c r="D29" s="261"/>
      <c r="E29" s="261"/>
    </row>
    <row r="30" spans="1:5" ht="15.75" x14ac:dyDescent="0.25">
      <c r="A30" s="260" t="s">
        <v>287</v>
      </c>
      <c r="B30" s="261"/>
      <c r="C30" s="261"/>
      <c r="D30" s="261"/>
      <c r="E30" s="261"/>
    </row>
    <row r="31" spans="1:5" ht="15.75" x14ac:dyDescent="0.25">
      <c r="A31" s="260" t="s">
        <v>288</v>
      </c>
      <c r="B31" s="261"/>
      <c r="C31" s="261"/>
      <c r="D31" s="261"/>
      <c r="E31" s="261"/>
    </row>
    <row r="32" spans="1:5" ht="15.75" x14ac:dyDescent="0.25">
      <c r="A32" s="260" t="s">
        <v>289</v>
      </c>
      <c r="B32" s="261"/>
      <c r="C32" s="261"/>
      <c r="D32" s="261"/>
      <c r="E32" s="261"/>
    </row>
    <row r="33" spans="1:5" ht="15.75" x14ac:dyDescent="0.25">
      <c r="A33" s="260" t="s">
        <v>290</v>
      </c>
      <c r="B33" s="261"/>
      <c r="C33" s="261"/>
      <c r="D33" s="261">
        <v>0</v>
      </c>
      <c r="E33" s="261">
        <v>0</v>
      </c>
    </row>
    <row r="34" spans="1:5" ht="15.75" x14ac:dyDescent="0.25">
      <c r="A34" s="260" t="s">
        <v>291</v>
      </c>
      <c r="B34" s="261"/>
      <c r="C34" s="261"/>
      <c r="D34" s="261"/>
      <c r="E34" s="261"/>
    </row>
    <row r="35" spans="1:5" ht="15.75" x14ac:dyDescent="0.25">
      <c r="A35" s="260" t="s">
        <v>292</v>
      </c>
      <c r="B35" s="261">
        <v>0</v>
      </c>
      <c r="C35" s="261">
        <f>490000/1000</f>
        <v>490</v>
      </c>
      <c r="D35" s="261"/>
      <c r="E35" s="261"/>
    </row>
    <row r="36" spans="1:5" ht="15.75" x14ac:dyDescent="0.25">
      <c r="A36" s="260" t="s">
        <v>293</v>
      </c>
      <c r="B36" s="261"/>
      <c r="C36" s="261"/>
      <c r="D36" s="261"/>
      <c r="E36" s="261"/>
    </row>
    <row r="37" spans="1:5" ht="15.75" x14ac:dyDescent="0.25">
      <c r="A37" s="258" t="s">
        <v>294</v>
      </c>
      <c r="B37" s="262">
        <f>SUM(B26:B36)</f>
        <v>563416</v>
      </c>
      <c r="C37" s="262">
        <f>SUM(C26:C36)</f>
        <v>-938988.13100000005</v>
      </c>
      <c r="D37" s="262">
        <f>SUM(D26:D36)</f>
        <v>-1348576</v>
      </c>
      <c r="E37" s="262">
        <f>SUM(E26:E36)</f>
        <v>-2535554</v>
      </c>
    </row>
    <row r="38" spans="1:5" ht="15.75" x14ac:dyDescent="0.25">
      <c r="A38" s="260"/>
      <c r="B38" s="261"/>
      <c r="C38" s="261"/>
      <c r="D38" s="261"/>
      <c r="E38" s="261"/>
    </row>
    <row r="39" spans="1:5" ht="15.75" x14ac:dyDescent="0.25">
      <c r="A39" s="258" t="s">
        <v>295</v>
      </c>
      <c r="B39" s="261"/>
      <c r="C39" s="261"/>
      <c r="D39" s="261"/>
      <c r="E39" s="261"/>
    </row>
    <row r="40" spans="1:5" ht="15.75" x14ac:dyDescent="0.25">
      <c r="A40" s="260" t="s">
        <v>296</v>
      </c>
      <c r="B40" s="261"/>
      <c r="C40" s="261"/>
      <c r="D40" s="261">
        <f>18129418+11000000</f>
        <v>29129418</v>
      </c>
      <c r="E40" s="261">
        <v>5719174</v>
      </c>
    </row>
    <row r="41" spans="1:5" ht="15.75" x14ac:dyDescent="0.25">
      <c r="A41" s="260" t="s">
        <v>297</v>
      </c>
      <c r="B41" s="261"/>
      <c r="C41" s="261"/>
      <c r="D41" s="261"/>
      <c r="E41" s="261"/>
    </row>
    <row r="42" spans="1:5" ht="15.75" x14ac:dyDescent="0.25">
      <c r="A42" s="260" t="s">
        <v>298</v>
      </c>
      <c r="B42" s="261"/>
      <c r="C42" s="261"/>
      <c r="D42" s="261">
        <v>-15300000</v>
      </c>
      <c r="E42" s="261">
        <v>-2000000</v>
      </c>
    </row>
    <row r="43" spans="1:5" ht="15.75" x14ac:dyDescent="0.25">
      <c r="A43" s="260" t="s">
        <v>299</v>
      </c>
      <c r="B43" s="261"/>
      <c r="C43" s="261"/>
      <c r="D43" s="261">
        <v>8000000</v>
      </c>
      <c r="E43" s="261">
        <v>-6500000</v>
      </c>
    </row>
    <row r="44" spans="1:5" ht="15.75" x14ac:dyDescent="0.25">
      <c r="A44" s="260" t="s">
        <v>300</v>
      </c>
      <c r="B44" s="261"/>
      <c r="C44" s="261"/>
      <c r="D44" s="261">
        <f>-4663374-1000000</f>
        <v>-5663374</v>
      </c>
      <c r="E44" s="261">
        <v>-5691318</v>
      </c>
    </row>
    <row r="45" spans="1:5" ht="15.75" x14ac:dyDescent="0.25">
      <c r="A45" s="260" t="s">
        <v>301</v>
      </c>
      <c r="B45" s="261"/>
      <c r="C45" s="261"/>
      <c r="D45" s="261"/>
      <c r="E45" s="261"/>
    </row>
    <row r="46" spans="1:5" ht="15.75" x14ac:dyDescent="0.25">
      <c r="A46" s="260" t="s">
        <v>302</v>
      </c>
      <c r="B46" s="261"/>
      <c r="C46" s="261"/>
      <c r="D46" s="261"/>
      <c r="E46" s="261"/>
    </row>
    <row r="47" spans="1:5" ht="15.75" x14ac:dyDescent="0.25">
      <c r="A47" s="260" t="s">
        <v>303</v>
      </c>
      <c r="B47" s="261"/>
      <c r="C47" s="261"/>
      <c r="D47" s="261">
        <v>0</v>
      </c>
      <c r="E47" s="261">
        <v>0</v>
      </c>
    </row>
    <row r="48" spans="1:5" ht="15.75" x14ac:dyDescent="0.25">
      <c r="A48" s="260" t="s">
        <v>304</v>
      </c>
      <c r="B48" s="261">
        <v>-2829464</v>
      </c>
      <c r="C48" s="261">
        <f>5539224489/1000</f>
        <v>5539224.4890000001</v>
      </c>
      <c r="D48" s="261"/>
      <c r="E48" s="261"/>
    </row>
    <row r="49" spans="1:10" ht="15.75" x14ac:dyDescent="0.25">
      <c r="A49" s="258" t="s">
        <v>305</v>
      </c>
      <c r="B49" s="262">
        <f>SUM(B40:B48)</f>
        <v>-2829464</v>
      </c>
      <c r="C49" s="262">
        <f>SUM(C40:C48)</f>
        <v>5539224.4890000001</v>
      </c>
      <c r="D49" s="262">
        <f>SUM(D40:D48)</f>
        <v>16166044</v>
      </c>
      <c r="E49" s="262">
        <f>SUM(E40:E48)</f>
        <v>-8472144</v>
      </c>
    </row>
    <row r="50" spans="1:10" ht="15.75" x14ac:dyDescent="0.25">
      <c r="A50" s="258"/>
      <c r="B50" s="261"/>
      <c r="C50" s="261"/>
      <c r="D50" s="261"/>
      <c r="E50" s="261"/>
    </row>
    <row r="51" spans="1:10" ht="15.75" x14ac:dyDescent="0.25">
      <c r="A51" s="258" t="s">
        <v>306</v>
      </c>
      <c r="B51" s="262">
        <f>+B23+B37+B49</f>
        <v>704342</v>
      </c>
      <c r="C51" s="262">
        <f>+C23+C37+C49</f>
        <v>9143822.2789999992</v>
      </c>
      <c r="D51" s="262">
        <f>+D23+D37+D49</f>
        <v>9767967</v>
      </c>
      <c r="E51" s="262">
        <f t="shared" ref="E51" si="0">+E23+E37+E49</f>
        <v>-26523106</v>
      </c>
    </row>
    <row r="52" spans="1:10" ht="15.75" x14ac:dyDescent="0.25">
      <c r="A52" s="260" t="s">
        <v>307</v>
      </c>
      <c r="B52" s="261">
        <v>22440128</v>
      </c>
      <c r="C52" s="261">
        <v>13296305.426000001</v>
      </c>
      <c r="D52" s="261">
        <f>+E54</f>
        <v>222462358</v>
      </c>
      <c r="E52" s="261">
        <v>248985464</v>
      </c>
    </row>
    <row r="53" spans="1:10" ht="15.75" x14ac:dyDescent="0.25">
      <c r="A53" s="260" t="s">
        <v>308</v>
      </c>
      <c r="B53" s="261"/>
      <c r="C53" s="261"/>
      <c r="D53" s="261"/>
      <c r="E53" s="261"/>
      <c r="J53" s="249" t="s">
        <v>227</v>
      </c>
    </row>
    <row r="54" spans="1:10" ht="15.75" x14ac:dyDescent="0.25">
      <c r="A54" s="258" t="s">
        <v>309</v>
      </c>
      <c r="B54" s="262">
        <f>SUM(B51:B53)</f>
        <v>23144470</v>
      </c>
      <c r="C54" s="262">
        <f>SUM(C51:C53)</f>
        <v>22440127.704999998</v>
      </c>
      <c r="D54" s="262">
        <f>SUM(D51:D53)</f>
        <v>232230325</v>
      </c>
      <c r="E54" s="262">
        <f>SUM(E51:E53)</f>
        <v>222462358</v>
      </c>
    </row>
    <row r="55" spans="1:10" x14ac:dyDescent="0.25">
      <c r="C55" s="263"/>
    </row>
  </sheetData>
  <mergeCells count="6">
    <mergeCell ref="A4:E4"/>
    <mergeCell ref="B5:C5"/>
    <mergeCell ref="D5:E5"/>
    <mergeCell ref="A1:C1"/>
    <mergeCell ref="A2:C2"/>
    <mergeCell ref="A3:C3"/>
  </mergeCells>
  <pageMargins left="0.51" right="0.17" top="0.45" bottom="0.34" header="0.3" footer="0.18"/>
  <pageSetup paperSize="9" scale="8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4"/>
  <sheetViews>
    <sheetView zoomScaleNormal="100" workbookViewId="0">
      <selection sqref="A1:E1"/>
    </sheetView>
  </sheetViews>
  <sheetFormatPr defaultRowHeight="15.75" x14ac:dyDescent="0.25"/>
  <cols>
    <col min="1" max="1" width="50.140625" style="3" customWidth="1"/>
    <col min="2" max="2" width="14.7109375" style="3" customWidth="1"/>
    <col min="3" max="3" width="14.28515625" style="3" customWidth="1"/>
    <col min="4" max="4" width="14.5703125" style="3" customWidth="1"/>
    <col min="5" max="5" width="14.42578125" style="3" customWidth="1"/>
    <col min="6" max="16384" width="9.140625" style="3"/>
  </cols>
  <sheetData>
    <row r="1" spans="1:5" x14ac:dyDescent="0.25">
      <c r="A1" s="342" t="s">
        <v>39</v>
      </c>
      <c r="B1" s="342"/>
      <c r="C1" s="342"/>
      <c r="D1" s="342"/>
      <c r="E1" s="342"/>
    </row>
    <row r="2" spans="1:5" x14ac:dyDescent="0.25">
      <c r="A2" s="342" t="s">
        <v>255</v>
      </c>
      <c r="B2" s="342"/>
      <c r="C2" s="342"/>
      <c r="D2" s="342"/>
      <c r="E2" s="342"/>
    </row>
    <row r="3" spans="1:5" x14ac:dyDescent="0.25">
      <c r="A3" s="342" t="s">
        <v>337</v>
      </c>
      <c r="B3" s="342"/>
      <c r="C3" s="342"/>
      <c r="D3" s="342"/>
      <c r="E3" s="342"/>
    </row>
    <row r="4" spans="1:5" ht="8.25" customHeight="1" x14ac:dyDescent="0.25">
      <c r="A4" s="36"/>
      <c r="B4" s="36"/>
      <c r="C4" s="36"/>
      <c r="D4" s="36"/>
      <c r="E4" s="36"/>
    </row>
    <row r="5" spans="1:5" x14ac:dyDescent="0.25">
      <c r="A5" s="344" t="s">
        <v>326</v>
      </c>
      <c r="B5" s="343" t="s">
        <v>34</v>
      </c>
      <c r="C5" s="343"/>
      <c r="D5" s="332" t="s">
        <v>45</v>
      </c>
      <c r="E5" s="332"/>
    </row>
    <row r="6" spans="1:5" x14ac:dyDescent="0.25">
      <c r="A6" s="345"/>
      <c r="B6" s="171" t="s">
        <v>343</v>
      </c>
      <c r="C6" s="171" t="s">
        <v>320</v>
      </c>
      <c r="D6" s="171" t="s">
        <v>342</v>
      </c>
      <c r="E6" s="265" t="s">
        <v>320</v>
      </c>
    </row>
    <row r="7" spans="1:5" ht="39.75" customHeight="1" x14ac:dyDescent="0.25">
      <c r="A7" s="31" t="s">
        <v>160</v>
      </c>
      <c r="B7" s="236" t="s">
        <v>331</v>
      </c>
      <c r="C7" s="236" t="s">
        <v>310</v>
      </c>
      <c r="D7" s="236" t="s">
        <v>330</v>
      </c>
      <c r="E7" s="236" t="s">
        <v>251</v>
      </c>
    </row>
    <row r="8" spans="1:5" x14ac:dyDescent="0.25">
      <c r="A8" s="32" t="s">
        <v>253</v>
      </c>
      <c r="B8" s="123">
        <f>8292153/1000</f>
        <v>8292.1530000000002</v>
      </c>
      <c r="C8" s="123">
        <f>7688834/1000</f>
        <v>7688.8339999999998</v>
      </c>
      <c r="D8" s="162">
        <v>137992</v>
      </c>
      <c r="E8" s="162">
        <v>138923</v>
      </c>
    </row>
    <row r="9" spans="1:5" x14ac:dyDescent="0.25">
      <c r="A9" s="32" t="s">
        <v>254</v>
      </c>
      <c r="B9" s="123">
        <f>8293497/1000</f>
        <v>8293.4969999999994</v>
      </c>
      <c r="C9" s="123">
        <f>7718532/1000</f>
        <v>7718.5320000000002</v>
      </c>
      <c r="D9" s="162">
        <v>179520</v>
      </c>
      <c r="E9" s="162">
        <v>177529</v>
      </c>
    </row>
    <row r="10" spans="1:5" x14ac:dyDescent="0.25">
      <c r="A10" s="32" t="s">
        <v>163</v>
      </c>
      <c r="B10" s="32"/>
      <c r="C10" s="32"/>
      <c r="D10" s="260"/>
      <c r="E10" s="260"/>
    </row>
    <row r="11" spans="1:5" x14ac:dyDescent="0.25">
      <c r="A11" s="32" t="s">
        <v>161</v>
      </c>
      <c r="B11" s="170">
        <v>0.54827999999999999</v>
      </c>
      <c r="C11" s="122" t="s">
        <v>321</v>
      </c>
      <c r="D11" s="245">
        <v>7.6200000000000004E-2</v>
      </c>
      <c r="E11" s="245">
        <v>8.2100000000000006E-2</v>
      </c>
    </row>
    <row r="12" spans="1:5" x14ac:dyDescent="0.25">
      <c r="A12" s="32" t="s">
        <v>162</v>
      </c>
      <c r="B12" s="170"/>
      <c r="C12" s="122"/>
      <c r="D12" s="161"/>
      <c r="E12" s="161"/>
    </row>
    <row r="13" spans="1:5" x14ac:dyDescent="0.25">
      <c r="A13" s="32" t="s">
        <v>164</v>
      </c>
      <c r="B13" s="170">
        <v>0.54837000000000002</v>
      </c>
      <c r="C13" s="122" t="s">
        <v>322</v>
      </c>
      <c r="D13" s="245">
        <v>0.10780000000000001</v>
      </c>
      <c r="E13" s="245">
        <v>0.105</v>
      </c>
    </row>
    <row r="14" spans="1:5" x14ac:dyDescent="0.25">
      <c r="A14" s="32"/>
      <c r="B14" s="242"/>
      <c r="C14" s="122"/>
      <c r="D14" s="161"/>
      <c r="E14" s="161"/>
    </row>
    <row r="15" spans="1:5" x14ac:dyDescent="0.25">
      <c r="A15" s="31" t="s">
        <v>165</v>
      </c>
      <c r="B15" s="161"/>
      <c r="C15" s="237"/>
      <c r="D15" s="161"/>
      <c r="E15" s="161"/>
    </row>
    <row r="16" spans="1:5" x14ac:dyDescent="0.25">
      <c r="A16" s="32" t="s">
        <v>166</v>
      </c>
      <c r="B16" s="244">
        <v>2.5161049287309188E-2</v>
      </c>
      <c r="C16" s="226">
        <v>3.3000000000000002E-2</v>
      </c>
      <c r="D16" s="245">
        <v>0.22420000000000001</v>
      </c>
      <c r="E16" s="245">
        <v>0.22389999999999999</v>
      </c>
    </row>
    <row r="17" spans="1:5" x14ac:dyDescent="0.25">
      <c r="A17" s="32" t="s">
        <v>167</v>
      </c>
      <c r="B17" s="161"/>
      <c r="C17" s="237"/>
      <c r="D17" s="161"/>
      <c r="E17" s="161"/>
    </row>
    <row r="18" spans="1:5" x14ac:dyDescent="0.25">
      <c r="A18" s="32" t="s">
        <v>168</v>
      </c>
      <c r="B18" s="244">
        <v>1.1423825498920194E-2</v>
      </c>
      <c r="C18" s="226">
        <v>1.8599999999999998E-2</v>
      </c>
      <c r="D18" s="282">
        <v>0.14319999999999999</v>
      </c>
      <c r="E18" s="282" t="s">
        <v>325</v>
      </c>
    </row>
    <row r="19" spans="1:5" x14ac:dyDescent="0.25">
      <c r="A19" s="32" t="s">
        <v>169</v>
      </c>
      <c r="B19" s="161"/>
      <c r="C19" s="237"/>
      <c r="D19" s="161"/>
      <c r="E19" s="161"/>
    </row>
    <row r="20" spans="1:5" x14ac:dyDescent="0.25">
      <c r="A20" s="32"/>
      <c r="B20" s="161"/>
      <c r="C20" s="122"/>
      <c r="D20" s="161"/>
      <c r="E20" s="161"/>
    </row>
    <row r="21" spans="1:5" x14ac:dyDescent="0.25">
      <c r="A21" s="31" t="s">
        <v>170</v>
      </c>
      <c r="B21" s="161"/>
      <c r="C21" s="122"/>
      <c r="D21" s="161"/>
      <c r="E21" s="161"/>
    </row>
    <row r="22" spans="1:5" x14ac:dyDescent="0.25">
      <c r="A22" s="32" t="s">
        <v>171</v>
      </c>
      <c r="B22" s="245">
        <v>3.0204117785367243E-2</v>
      </c>
      <c r="C22" s="170">
        <v>3.4615676346264904E-2</v>
      </c>
      <c r="D22" s="245">
        <v>0.02</v>
      </c>
      <c r="E22" s="245">
        <v>2.0299999999999999E-2</v>
      </c>
    </row>
    <row r="23" spans="1:5" x14ac:dyDescent="0.25">
      <c r="A23" s="32" t="s">
        <v>172</v>
      </c>
      <c r="B23" s="245">
        <v>2.070316733116347E-2</v>
      </c>
      <c r="C23" s="170">
        <v>2.5473488971216436E-2</v>
      </c>
      <c r="D23" s="161"/>
      <c r="E23" s="161"/>
    </row>
    <row r="24" spans="1:5" x14ac:dyDescent="0.25">
      <c r="A24" s="32" t="s">
        <v>173</v>
      </c>
      <c r="B24" s="245">
        <v>0.11312081796323804</v>
      </c>
      <c r="C24" s="170">
        <v>0.13128880736508497</v>
      </c>
      <c r="D24" s="161"/>
      <c r="E24" s="161"/>
    </row>
    <row r="25" spans="1:5" x14ac:dyDescent="0.25">
      <c r="A25" s="32"/>
      <c r="B25" s="161"/>
      <c r="C25" s="122"/>
      <c r="D25" s="161"/>
      <c r="E25" s="161"/>
    </row>
    <row r="26" spans="1:5" x14ac:dyDescent="0.25">
      <c r="A26" s="31" t="s">
        <v>174</v>
      </c>
      <c r="B26" s="122"/>
      <c r="C26" s="122"/>
      <c r="D26" s="161"/>
      <c r="E26" s="161"/>
    </row>
    <row r="27" spans="1:5" x14ac:dyDescent="0.25">
      <c r="A27" s="32" t="s">
        <v>175</v>
      </c>
      <c r="B27" s="162">
        <f>+(7857171+184712*153.4)/1000</f>
        <v>36191.991799999996</v>
      </c>
      <c r="C27" s="162">
        <f>+(7247893+198772*151.75)/1000</f>
        <v>37411.544000000002</v>
      </c>
      <c r="D27" s="162">
        <v>690714</v>
      </c>
      <c r="E27" s="162">
        <v>608216</v>
      </c>
    </row>
    <row r="28" spans="1:5" x14ac:dyDescent="0.25">
      <c r="A28" s="32" t="s">
        <v>176</v>
      </c>
      <c r="B28" s="123"/>
      <c r="C28" s="123"/>
      <c r="D28" s="162"/>
      <c r="E28" s="162"/>
    </row>
    <row r="29" spans="1:5" x14ac:dyDescent="0.25">
      <c r="A29" s="32" t="s">
        <v>177</v>
      </c>
      <c r="B29" s="122"/>
      <c r="C29" s="122"/>
      <c r="D29" s="161"/>
      <c r="E29" s="161"/>
    </row>
    <row r="30" spans="1:5" x14ac:dyDescent="0.25">
      <c r="A30" s="32" t="s">
        <v>178</v>
      </c>
      <c r="B30" s="170">
        <v>1.7403</v>
      </c>
      <c r="C30" s="170">
        <v>1.4072</v>
      </c>
      <c r="D30" s="161"/>
      <c r="E30" s="161"/>
    </row>
    <row r="31" spans="1:5" x14ac:dyDescent="0.25">
      <c r="A31" s="32" t="s">
        <v>179</v>
      </c>
      <c r="B31" s="170">
        <v>0.97160000000000002</v>
      </c>
      <c r="C31" s="170">
        <v>1.4206000000000001</v>
      </c>
      <c r="D31" s="161"/>
      <c r="E31" s="161"/>
    </row>
    <row r="32" spans="1:5" ht="15.75" customHeight="1" x14ac:dyDescent="0.25">
      <c r="A32" s="27"/>
      <c r="B32" s="9"/>
      <c r="C32" s="9"/>
      <c r="D32" s="9"/>
      <c r="E32" s="9"/>
    </row>
    <row r="33" spans="1:5" hidden="1" x14ac:dyDescent="0.25">
      <c r="A33" s="172" t="s">
        <v>258</v>
      </c>
      <c r="B33" s="173"/>
      <c r="C33" s="173"/>
      <c r="D33" s="174"/>
      <c r="E33" s="174"/>
    </row>
    <row r="34" spans="1:5" hidden="1" x14ac:dyDescent="0.25">
      <c r="A34" s="172"/>
      <c r="B34" s="173"/>
      <c r="C34" s="173"/>
      <c r="D34" s="174"/>
      <c r="E34" s="174"/>
    </row>
    <row r="35" spans="1:5" ht="126.75" hidden="1" customHeight="1" x14ac:dyDescent="0.25">
      <c r="A35" s="338" t="s">
        <v>311</v>
      </c>
      <c r="B35" s="338"/>
      <c r="C35" s="338"/>
      <c r="D35" s="338"/>
      <c r="E35" s="338"/>
    </row>
    <row r="36" spans="1:5" hidden="1" x14ac:dyDescent="0.25">
      <c r="A36" s="167"/>
      <c r="B36" s="167"/>
      <c r="C36" s="167"/>
      <c r="D36" s="167"/>
      <c r="E36" s="167"/>
    </row>
    <row r="37" spans="1:5" hidden="1" x14ac:dyDescent="0.25">
      <c r="A37" s="213"/>
      <c r="B37" s="213"/>
      <c r="C37" s="213"/>
      <c r="D37" s="213"/>
      <c r="E37" s="213"/>
    </row>
    <row r="38" spans="1:5" hidden="1" x14ac:dyDescent="0.25">
      <c r="A38" s="27" t="s">
        <v>259</v>
      </c>
      <c r="B38" s="9"/>
      <c r="C38" s="9"/>
      <c r="D38" s="9"/>
      <c r="E38" s="9"/>
    </row>
    <row r="39" spans="1:5" hidden="1" x14ac:dyDescent="0.25">
      <c r="A39" s="27"/>
      <c r="B39" s="9"/>
      <c r="C39" s="9"/>
      <c r="D39" s="9"/>
      <c r="E39" s="9"/>
    </row>
    <row r="40" spans="1:5" ht="210.75" hidden="1" customHeight="1" x14ac:dyDescent="0.25">
      <c r="A40" s="337" t="s">
        <v>260</v>
      </c>
      <c r="B40" s="337"/>
      <c r="C40" s="337"/>
      <c r="D40" s="337"/>
      <c r="E40" s="337"/>
    </row>
    <row r="41" spans="1:5" x14ac:dyDescent="0.25">
      <c r="A41" s="166"/>
      <c r="B41" s="167"/>
      <c r="C41" s="167"/>
      <c r="D41" s="167"/>
      <c r="E41" s="167"/>
    </row>
    <row r="42" spans="1:5" x14ac:dyDescent="0.25">
      <c r="A42" s="27" t="s">
        <v>232</v>
      </c>
      <c r="B42" s="20"/>
      <c r="C42" s="20"/>
      <c r="D42" s="20"/>
      <c r="E42" s="20"/>
    </row>
    <row r="43" spans="1:5" x14ac:dyDescent="0.25">
      <c r="A43" s="27"/>
      <c r="B43" s="20"/>
      <c r="C43" s="20"/>
      <c r="D43" s="20"/>
      <c r="E43" s="20"/>
    </row>
    <row r="44" spans="1:5" ht="81" customHeight="1" x14ac:dyDescent="0.25">
      <c r="A44" s="338" t="s">
        <v>262</v>
      </c>
      <c r="B44" s="339"/>
      <c r="C44" s="339"/>
      <c r="D44" s="339"/>
      <c r="E44" s="339"/>
    </row>
    <row r="45" spans="1:5" ht="31.5" customHeight="1" x14ac:dyDescent="0.25">
      <c r="A45" s="337" t="s">
        <v>332</v>
      </c>
      <c r="B45" s="341"/>
      <c r="C45" s="341"/>
      <c r="D45" s="341"/>
      <c r="E45" s="341"/>
    </row>
    <row r="46" spans="1:5" x14ac:dyDescent="0.25">
      <c r="A46" s="166"/>
      <c r="B46" s="167"/>
      <c r="C46" s="167"/>
      <c r="D46" s="167"/>
      <c r="E46" s="167"/>
    </row>
    <row r="47" spans="1:5" x14ac:dyDescent="0.25">
      <c r="A47" s="166"/>
      <c r="B47" s="167"/>
      <c r="C47" s="167"/>
      <c r="D47" s="167"/>
      <c r="E47" s="167"/>
    </row>
    <row r="48" spans="1:5" x14ac:dyDescent="0.25">
      <c r="A48" s="166"/>
      <c r="B48" s="167"/>
      <c r="C48" s="167"/>
      <c r="D48" s="167"/>
      <c r="E48" s="167"/>
    </row>
    <row r="49" spans="1:5" x14ac:dyDescent="0.25">
      <c r="A49" s="166"/>
      <c r="B49" s="167"/>
      <c r="C49" s="167"/>
      <c r="D49" s="167"/>
      <c r="E49" s="167"/>
    </row>
    <row r="50" spans="1:5" x14ac:dyDescent="0.25">
      <c r="A50" s="166"/>
      <c r="B50" s="167"/>
      <c r="C50" s="167"/>
      <c r="D50" s="167"/>
      <c r="E50" s="167"/>
    </row>
    <row r="51" spans="1:5" x14ac:dyDescent="0.25">
      <c r="A51" s="2" t="s">
        <v>333</v>
      </c>
      <c r="B51" s="30"/>
      <c r="C51" s="30"/>
      <c r="D51" s="340" t="s">
        <v>263</v>
      </c>
      <c r="E51" s="340"/>
    </row>
    <row r="52" spans="1:5" x14ac:dyDescent="0.25">
      <c r="A52" s="3" t="s">
        <v>334</v>
      </c>
      <c r="B52" s="2"/>
      <c r="D52" s="3" t="s">
        <v>261</v>
      </c>
    </row>
    <row r="54" spans="1:5" x14ac:dyDescent="0.25">
      <c r="A54" s="158" t="s">
        <v>344</v>
      </c>
    </row>
  </sheetData>
  <mergeCells count="11">
    <mergeCell ref="A40:E40"/>
    <mergeCell ref="A44:E44"/>
    <mergeCell ref="D51:E51"/>
    <mergeCell ref="A45:E45"/>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workbookViewId="0">
      <selection activeCell="C38" sqref="C38"/>
    </sheetView>
  </sheetViews>
  <sheetFormatPr defaultRowHeight="15" x14ac:dyDescent="0.25"/>
  <cols>
    <col min="1" max="1" width="7.5703125" customWidth="1"/>
    <col min="2" max="2" width="30.85546875" customWidth="1"/>
    <col min="3" max="3" width="11.5703125" customWidth="1"/>
    <col min="4" max="4" width="10.85546875" customWidth="1"/>
    <col min="5" max="6" width="11" hidden="1" customWidth="1"/>
    <col min="8" max="8" width="18" bestFit="1" customWidth="1"/>
    <col min="9" max="9" width="17.42578125" style="21" bestFit="1" customWidth="1"/>
  </cols>
  <sheetData>
    <row r="1" spans="1:9" x14ac:dyDescent="0.25">
      <c r="A1" s="349" t="s">
        <v>224</v>
      </c>
      <c r="B1" s="349"/>
      <c r="C1" s="349"/>
      <c r="D1" s="349"/>
      <c r="E1" s="349"/>
      <c r="F1" s="349"/>
      <c r="G1" s="22"/>
    </row>
    <row r="2" spans="1:9" ht="15.75" thickBot="1" x14ac:dyDescent="0.3">
      <c r="A2" s="21"/>
      <c r="B2" s="21"/>
      <c r="C2" s="21"/>
      <c r="D2" s="21"/>
      <c r="E2" s="21"/>
      <c r="F2" s="21"/>
    </row>
    <row r="3" spans="1:9" x14ac:dyDescent="0.25">
      <c r="A3" s="48"/>
      <c r="B3" s="45"/>
      <c r="C3" s="350" t="s">
        <v>34</v>
      </c>
      <c r="D3" s="351"/>
      <c r="E3" s="350" t="s">
        <v>45</v>
      </c>
      <c r="F3" s="352"/>
    </row>
    <row r="4" spans="1:9" x14ac:dyDescent="0.25">
      <c r="A4" s="49"/>
      <c r="B4" s="50"/>
      <c r="C4" s="98" t="s">
        <v>35</v>
      </c>
      <c r="D4" s="98" t="s">
        <v>38</v>
      </c>
      <c r="E4" s="98" t="s">
        <v>35</v>
      </c>
      <c r="F4" s="138" t="s">
        <v>38</v>
      </c>
    </row>
    <row r="5" spans="1:9" x14ac:dyDescent="0.25">
      <c r="A5" s="52" t="s">
        <v>1</v>
      </c>
      <c r="B5" s="50"/>
      <c r="C5" s="99" t="s">
        <v>190</v>
      </c>
      <c r="D5" s="99" t="s">
        <v>192</v>
      </c>
      <c r="E5" s="99" t="s">
        <v>190</v>
      </c>
      <c r="F5" s="139" t="s">
        <v>192</v>
      </c>
    </row>
    <row r="6" spans="1:9" x14ac:dyDescent="0.25">
      <c r="A6" s="52"/>
      <c r="B6" s="50"/>
      <c r="C6" s="99" t="s">
        <v>189</v>
      </c>
      <c r="D6" s="99" t="s">
        <v>191</v>
      </c>
      <c r="E6" s="99" t="s">
        <v>189</v>
      </c>
      <c r="F6" s="139" t="s">
        <v>191</v>
      </c>
    </row>
    <row r="7" spans="1:9" x14ac:dyDescent="0.25">
      <c r="A7" s="54"/>
      <c r="B7" s="47"/>
      <c r="C7" s="100" t="s">
        <v>343</v>
      </c>
      <c r="D7" s="100" t="s">
        <v>323</v>
      </c>
      <c r="E7" s="100" t="s">
        <v>188</v>
      </c>
      <c r="F7" s="140" t="s">
        <v>188</v>
      </c>
      <c r="I7" s="23"/>
    </row>
    <row r="8" spans="1:9" x14ac:dyDescent="0.25">
      <c r="A8" s="347" t="s">
        <v>193</v>
      </c>
      <c r="B8" s="348"/>
      <c r="C8" s="152">
        <f>8437000+1836369+138900+3171968</f>
        <v>13584237</v>
      </c>
      <c r="D8" s="152">
        <f>16020235470/1000</f>
        <v>16020235.470000001</v>
      </c>
      <c r="E8" s="152"/>
      <c r="F8" s="153"/>
      <c r="H8" s="204"/>
    </row>
    <row r="9" spans="1:9" x14ac:dyDescent="0.25">
      <c r="A9" s="354" t="s">
        <v>194</v>
      </c>
      <c r="B9" s="39" t="s">
        <v>196</v>
      </c>
      <c r="C9" s="152">
        <v>0</v>
      </c>
      <c r="D9" s="152">
        <f>(67575319+11695656)/1000</f>
        <v>79270.975000000006</v>
      </c>
      <c r="E9" s="152"/>
      <c r="F9" s="153"/>
      <c r="H9" s="204"/>
    </row>
    <row r="10" spans="1:9" x14ac:dyDescent="0.25">
      <c r="A10" s="354"/>
      <c r="B10" s="39" t="s">
        <v>195</v>
      </c>
      <c r="C10" s="152">
        <f>Impairment!C22+11696</f>
        <v>82490.467240000013</v>
      </c>
      <c r="D10" s="152">
        <f>(29697542)/1000</f>
        <v>29697.542000000001</v>
      </c>
      <c r="E10" s="152"/>
      <c r="F10" s="153"/>
      <c r="H10" s="204"/>
    </row>
    <row r="11" spans="1:9" x14ac:dyDescent="0.25">
      <c r="A11" s="347" t="s">
        <v>197</v>
      </c>
      <c r="B11" s="348"/>
      <c r="C11" s="152">
        <f>+C8-C9-C10</f>
        <v>13501746.53276</v>
      </c>
      <c r="D11" s="152">
        <f>+D8-D9-D10</f>
        <v>15911266.953000002</v>
      </c>
      <c r="E11" s="152"/>
      <c r="F11" s="153"/>
      <c r="H11" s="204"/>
      <c r="I11" s="207"/>
    </row>
    <row r="12" spans="1:9" x14ac:dyDescent="0.25">
      <c r="A12" s="356" t="s">
        <v>199</v>
      </c>
      <c r="B12" s="357"/>
      <c r="C12" s="152"/>
      <c r="D12" s="152"/>
      <c r="E12" s="152"/>
      <c r="F12" s="153"/>
      <c r="H12" s="206"/>
    </row>
    <row r="13" spans="1:9" x14ac:dyDescent="0.25">
      <c r="A13" s="356" t="s">
        <v>198</v>
      </c>
      <c r="B13" s="357"/>
      <c r="C13" s="152"/>
      <c r="D13" s="152"/>
      <c r="E13" s="152"/>
      <c r="F13" s="153"/>
    </row>
    <row r="14" spans="1:9" x14ac:dyDescent="0.25">
      <c r="A14" s="354" t="s">
        <v>194</v>
      </c>
      <c r="B14" s="39" t="s">
        <v>200</v>
      </c>
      <c r="C14" s="152"/>
      <c r="D14" s="152"/>
      <c r="E14" s="152"/>
      <c r="F14" s="153"/>
    </row>
    <row r="15" spans="1:9" ht="15.75" thickBot="1" x14ac:dyDescent="0.3">
      <c r="A15" s="355"/>
      <c r="B15" s="141" t="s">
        <v>201</v>
      </c>
      <c r="C15" s="154"/>
      <c r="D15" s="154"/>
      <c r="E15" s="154"/>
      <c r="F15" s="155"/>
    </row>
    <row r="16" spans="1:9" x14ac:dyDescent="0.25">
      <c r="A16" s="44" t="s">
        <v>202</v>
      </c>
      <c r="B16" s="40"/>
      <c r="C16" s="151">
        <f>C11</f>
        <v>13501746.53276</v>
      </c>
      <c r="D16" s="151">
        <f>D11</f>
        <v>15911266.953000002</v>
      </c>
      <c r="E16" s="151"/>
      <c r="F16" s="151"/>
    </row>
    <row r="17" spans="1:12" x14ac:dyDescent="0.25">
      <c r="A17" s="21"/>
      <c r="B17" s="21"/>
      <c r="C17" s="156">
        <f>+C16-'FINANCIAL POSITION'!F21</f>
        <v>-0.46724000014364719</v>
      </c>
      <c r="D17" s="156"/>
      <c r="E17" s="21"/>
      <c r="F17" s="21"/>
    </row>
    <row r="19" spans="1:12" x14ac:dyDescent="0.25">
      <c r="A19" s="353" t="s">
        <v>225</v>
      </c>
      <c r="B19" s="353"/>
      <c r="C19" s="353"/>
      <c r="D19" s="353"/>
      <c r="E19" s="353"/>
      <c r="F19" s="353"/>
    </row>
    <row r="20" spans="1:12" ht="15.75" thickBot="1" x14ac:dyDescent="0.3">
      <c r="A20" s="46"/>
      <c r="B20" s="46"/>
      <c r="C20" s="46"/>
      <c r="D20" s="46"/>
      <c r="E20" s="46"/>
      <c r="F20" s="46"/>
      <c r="H20" s="157"/>
    </row>
    <row r="21" spans="1:12" x14ac:dyDescent="0.25">
      <c r="A21" s="48"/>
      <c r="B21" s="45"/>
      <c r="C21" s="350" t="s">
        <v>34</v>
      </c>
      <c r="D21" s="351"/>
      <c r="E21" s="350" t="s">
        <v>45</v>
      </c>
      <c r="F21" s="352"/>
    </row>
    <row r="22" spans="1:12" x14ac:dyDescent="0.25">
      <c r="A22" s="49"/>
      <c r="B22" s="50"/>
      <c r="C22" s="42" t="s">
        <v>35</v>
      </c>
      <c r="D22" s="42" t="s">
        <v>38</v>
      </c>
      <c r="E22" s="42" t="s">
        <v>35</v>
      </c>
      <c r="F22" s="51" t="s">
        <v>38</v>
      </c>
      <c r="H22" s="157"/>
    </row>
    <row r="23" spans="1:12" x14ac:dyDescent="0.25">
      <c r="A23" s="52" t="s">
        <v>1</v>
      </c>
      <c r="B23" s="50"/>
      <c r="C23" s="43" t="s">
        <v>190</v>
      </c>
      <c r="D23" s="43" t="s">
        <v>192</v>
      </c>
      <c r="E23" s="43" t="s">
        <v>190</v>
      </c>
      <c r="F23" s="53" t="s">
        <v>192</v>
      </c>
    </row>
    <row r="24" spans="1:12" x14ac:dyDescent="0.25">
      <c r="A24" s="52"/>
      <c r="B24" s="50"/>
      <c r="C24" s="43" t="s">
        <v>189</v>
      </c>
      <c r="D24" s="43" t="s">
        <v>191</v>
      </c>
      <c r="E24" s="43" t="s">
        <v>189</v>
      </c>
      <c r="F24" s="53" t="s">
        <v>191</v>
      </c>
    </row>
    <row r="25" spans="1:12" x14ac:dyDescent="0.25">
      <c r="A25" s="54"/>
      <c r="B25" s="47"/>
      <c r="C25" s="239" t="str">
        <f>+C7</f>
        <v>31/12/2017</v>
      </c>
      <c r="D25" s="44" t="str">
        <f>+D7</f>
        <v>31/03/2017</v>
      </c>
      <c r="E25" s="44" t="s">
        <v>188</v>
      </c>
      <c r="F25" s="55" t="s">
        <v>188</v>
      </c>
      <c r="I25" s="23"/>
    </row>
    <row r="26" spans="1:12" x14ac:dyDescent="0.25">
      <c r="A26" s="127" t="s">
        <v>203</v>
      </c>
      <c r="B26" s="126"/>
      <c r="C26" s="142"/>
      <c r="D26" s="142"/>
      <c r="E26" s="142"/>
      <c r="F26" s="143"/>
    </row>
    <row r="27" spans="1:12" x14ac:dyDescent="0.25">
      <c r="A27" s="347" t="s">
        <v>204</v>
      </c>
      <c r="B27" s="348"/>
      <c r="C27" s="177">
        <f>(116036095.41+88.46)/1000</f>
        <v>116036.18386999999</v>
      </c>
      <c r="D27" s="177">
        <f>(1571021978+158594993+5872704)/1000-D35</f>
        <v>722803.0763500001</v>
      </c>
      <c r="E27" s="144"/>
      <c r="F27" s="145"/>
      <c r="H27" s="169"/>
      <c r="I27" s="156"/>
      <c r="L27" t="s">
        <v>227</v>
      </c>
    </row>
    <row r="28" spans="1:12" x14ac:dyDescent="0.25">
      <c r="A28" s="347" t="s">
        <v>205</v>
      </c>
      <c r="B28" s="348"/>
      <c r="C28" s="163">
        <f>(1636875559.67+62011785.96)/1000</f>
        <v>1698887.3456300001</v>
      </c>
      <c r="D28" s="163">
        <f>(1493884617+2063801453+166371534)/1000-D32-D36</f>
        <v>1891495.6237549996</v>
      </c>
      <c r="E28" s="142"/>
      <c r="F28" s="143"/>
      <c r="I28" s="156"/>
    </row>
    <row r="29" spans="1:12" x14ac:dyDescent="0.25">
      <c r="A29" s="347" t="s">
        <v>206</v>
      </c>
      <c r="B29" s="348"/>
      <c r="C29" s="246">
        <v>0</v>
      </c>
      <c r="D29" s="246">
        <v>0</v>
      </c>
      <c r="E29" s="142"/>
      <c r="F29" s="143"/>
      <c r="H29" s="157"/>
      <c r="I29" s="156"/>
    </row>
    <row r="30" spans="1:12" x14ac:dyDescent="0.25">
      <c r="A30" s="347" t="s">
        <v>207</v>
      </c>
      <c r="B30" s="348"/>
      <c r="C30" s="246">
        <v>0</v>
      </c>
      <c r="D30" s="246">
        <v>0</v>
      </c>
      <c r="E30" s="142"/>
      <c r="F30" s="143"/>
      <c r="I30" s="156"/>
    </row>
    <row r="31" spans="1:12" x14ac:dyDescent="0.25">
      <c r="A31" s="347" t="s">
        <v>208</v>
      </c>
      <c r="B31" s="348"/>
      <c r="C31" s="246">
        <v>0</v>
      </c>
      <c r="D31" s="246">
        <v>0</v>
      </c>
      <c r="E31" s="142"/>
      <c r="F31" s="143"/>
      <c r="I31" s="156"/>
    </row>
    <row r="32" spans="1:12" x14ac:dyDescent="0.25">
      <c r="A32" s="347" t="s">
        <v>230</v>
      </c>
      <c r="B32" s="348"/>
      <c r="C32" s="163">
        <f>(160212138.5+133464.81)/1000</f>
        <v>160345.60331000001</v>
      </c>
      <c r="D32" s="163">
        <f>5323000.55/1000</f>
        <v>5323.0005499999997</v>
      </c>
      <c r="E32" s="142"/>
      <c r="F32" s="143"/>
      <c r="H32" s="202"/>
      <c r="I32" s="156"/>
      <c r="L32" s="21"/>
    </row>
    <row r="33" spans="1:12" x14ac:dyDescent="0.25">
      <c r="A33" s="56" t="s">
        <v>209</v>
      </c>
      <c r="B33" s="41"/>
      <c r="C33" s="217">
        <f>SUM(C27:C32)</f>
        <v>1975269.1328100001</v>
      </c>
      <c r="D33" s="217">
        <f>SUM(D27:D32)</f>
        <v>2619621.7006549998</v>
      </c>
      <c r="E33" s="146"/>
      <c r="F33" s="147"/>
      <c r="H33" s="169"/>
      <c r="I33" s="205"/>
      <c r="L33" s="21"/>
    </row>
    <row r="34" spans="1:12" x14ac:dyDescent="0.25">
      <c r="A34" s="127" t="s">
        <v>210</v>
      </c>
      <c r="B34" s="126"/>
      <c r="C34" s="218"/>
      <c r="D34" s="218"/>
      <c r="E34" s="142"/>
      <c r="F34" s="143"/>
      <c r="I34" s="156"/>
      <c r="L34" s="21"/>
    </row>
    <row r="35" spans="1:12" x14ac:dyDescent="0.25">
      <c r="A35" s="346" t="s">
        <v>204</v>
      </c>
      <c r="B35" s="346"/>
      <c r="C35" s="177">
        <f>(886532059.608+46.02)/1000</f>
        <v>886532.10562799999</v>
      </c>
      <c r="D35" s="177">
        <f>(5773324.05+900063.75)*151.75/1000</f>
        <v>1012686.5986499999</v>
      </c>
      <c r="E35" s="144"/>
      <c r="F35" s="145"/>
      <c r="H35" s="204"/>
      <c r="I35" s="156"/>
      <c r="L35" s="21"/>
    </row>
    <row r="36" spans="1:12" x14ac:dyDescent="0.25">
      <c r="A36" s="346" t="s">
        <v>205</v>
      </c>
      <c r="B36" s="346"/>
      <c r="C36" s="163">
        <f>(1473509443.588+17452020.404)/1000</f>
        <v>1490961.4639920001</v>
      </c>
      <c r="D36" s="163">
        <f>(1696835923.8275+(159100+700228.21)*151.75)/1000</f>
        <v>1827238.9796950002</v>
      </c>
      <c r="E36" s="142"/>
      <c r="F36" s="143"/>
      <c r="H36" s="204"/>
      <c r="I36" s="156"/>
      <c r="L36" s="21"/>
    </row>
    <row r="37" spans="1:12" x14ac:dyDescent="0.25">
      <c r="A37" s="346" t="s">
        <v>249</v>
      </c>
      <c r="B37" s="346"/>
      <c r="C37" s="163">
        <f>(594727480.256+326972.1)/1000</f>
        <v>595054.45235600008</v>
      </c>
      <c r="D37" s="163">
        <f>645549402/1000</f>
        <v>645549.402</v>
      </c>
      <c r="E37" s="142"/>
      <c r="F37" s="143"/>
      <c r="I37" s="156"/>
      <c r="L37" s="21"/>
    </row>
    <row r="38" spans="1:12" x14ac:dyDescent="0.25">
      <c r="A38" s="347" t="s">
        <v>230</v>
      </c>
      <c r="B38" s="348"/>
      <c r="C38" s="163">
        <f>199420000/1000</f>
        <v>199420</v>
      </c>
      <c r="D38" s="246">
        <v>0</v>
      </c>
      <c r="E38" s="142"/>
      <c r="F38" s="143"/>
      <c r="I38" s="156"/>
      <c r="L38" s="21"/>
    </row>
    <row r="39" spans="1:12" x14ac:dyDescent="0.25">
      <c r="A39" s="346" t="s">
        <v>248</v>
      </c>
      <c r="B39" s="346"/>
      <c r="C39" s="163">
        <v>8437000</v>
      </c>
      <c r="D39" s="163">
        <f>9915138788/1000</f>
        <v>9915138.7880000006</v>
      </c>
      <c r="E39" s="142"/>
      <c r="F39" s="143"/>
      <c r="H39" s="157"/>
      <c r="I39" s="156"/>
      <c r="L39" s="21"/>
    </row>
    <row r="40" spans="1:12" ht="15.75" thickBot="1" x14ac:dyDescent="0.3">
      <c r="A40" s="109" t="s">
        <v>209</v>
      </c>
      <c r="B40" s="110"/>
      <c r="C40" s="219">
        <f>SUM(C35:C39)</f>
        <v>11608968.021976</v>
      </c>
      <c r="D40" s="219">
        <f>SUM(D35:D39)</f>
        <v>13400613.768345002</v>
      </c>
      <c r="E40" s="148"/>
      <c r="F40" s="149"/>
      <c r="H40" s="203"/>
      <c r="I40" s="159"/>
      <c r="L40" s="21"/>
    </row>
    <row r="41" spans="1:12" ht="15.75" thickBot="1" x14ac:dyDescent="0.3">
      <c r="A41" s="133" t="s">
        <v>130</v>
      </c>
      <c r="B41" s="134"/>
      <c r="C41" s="220">
        <f>C33+C40</f>
        <v>13584237.154786</v>
      </c>
      <c r="D41" s="220">
        <f>D33+D40</f>
        <v>16020235.469000002</v>
      </c>
      <c r="E41" s="150"/>
      <c r="F41" s="150"/>
      <c r="I41" s="159"/>
    </row>
    <row r="42" spans="1:12" ht="15.75" thickTop="1" x14ac:dyDescent="0.25">
      <c r="A42" s="21"/>
      <c r="B42" s="21"/>
      <c r="C42" s="156">
        <f>+C8-C41</f>
        <v>-0.1547860000282526</v>
      </c>
      <c r="D42" s="21"/>
      <c r="E42" s="21"/>
      <c r="F42" s="21"/>
    </row>
    <row r="43" spans="1:12" x14ac:dyDescent="0.25">
      <c r="C43" s="157"/>
    </row>
    <row r="45" spans="1:12" x14ac:dyDescent="0.25">
      <c r="C45" s="157"/>
      <c r="F45" s="157"/>
    </row>
    <row r="46" spans="1:12" x14ac:dyDescent="0.25">
      <c r="C46" s="157"/>
    </row>
  </sheetData>
  <mergeCells count="23">
    <mergeCell ref="A39:B39"/>
    <mergeCell ref="A1:F1"/>
    <mergeCell ref="C21:D21"/>
    <mergeCell ref="E21:F21"/>
    <mergeCell ref="C3:D3"/>
    <mergeCell ref="E3:F3"/>
    <mergeCell ref="A19:F19"/>
    <mergeCell ref="A9:A10"/>
    <mergeCell ref="A14:A15"/>
    <mergeCell ref="A8:B8"/>
    <mergeCell ref="A11:B11"/>
    <mergeCell ref="A12:B12"/>
    <mergeCell ref="A13:B13"/>
    <mergeCell ref="A38:B38"/>
    <mergeCell ref="A31:B31"/>
    <mergeCell ref="A32:B32"/>
    <mergeCell ref="A36:B36"/>
    <mergeCell ref="A37:B37"/>
    <mergeCell ref="A27:B27"/>
    <mergeCell ref="A28:B28"/>
    <mergeCell ref="A29:B29"/>
    <mergeCell ref="A30:B30"/>
    <mergeCell ref="A35:B35"/>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16" sqref="C16"/>
    </sheetView>
  </sheetViews>
  <sheetFormatPr defaultRowHeight="15" x14ac:dyDescent="0.25"/>
  <cols>
    <col min="1" max="1" width="6.5703125" customWidth="1"/>
    <col min="2" max="2" width="28.28515625" customWidth="1"/>
    <col min="3" max="3" width="11.5703125" customWidth="1"/>
    <col min="4" max="4" width="11.28515625" customWidth="1"/>
    <col min="5" max="5" width="11.5703125" hidden="1" customWidth="1"/>
    <col min="6" max="6" width="11.140625" hidden="1" customWidth="1"/>
  </cols>
  <sheetData>
    <row r="1" spans="1:6" x14ac:dyDescent="0.25">
      <c r="A1" s="214" t="s">
        <v>211</v>
      </c>
      <c r="B1" s="214"/>
      <c r="C1" s="214"/>
      <c r="D1" s="214"/>
      <c r="E1" s="214"/>
      <c r="F1" s="214"/>
    </row>
    <row r="2" spans="1:6" x14ac:dyDescent="0.25">
      <c r="A2" s="349" t="s">
        <v>212</v>
      </c>
      <c r="B2" s="349"/>
      <c r="C2" s="349"/>
      <c r="D2" s="349"/>
      <c r="E2" s="349"/>
      <c r="F2" s="349"/>
    </row>
    <row r="3" spans="1:6" ht="16.5" customHeight="1" thickBot="1" x14ac:dyDescent="0.3"/>
    <row r="4" spans="1:6" x14ac:dyDescent="0.25">
      <c r="A4" s="48"/>
      <c r="B4" s="45"/>
      <c r="C4" s="350" t="s">
        <v>34</v>
      </c>
      <c r="D4" s="351"/>
      <c r="E4" s="350" t="s">
        <v>45</v>
      </c>
      <c r="F4" s="352"/>
    </row>
    <row r="5" spans="1:6" x14ac:dyDescent="0.25">
      <c r="A5" s="52" t="s">
        <v>1</v>
      </c>
      <c r="B5" s="50"/>
      <c r="C5" s="98" t="s">
        <v>35</v>
      </c>
      <c r="D5" s="98" t="s">
        <v>38</v>
      </c>
      <c r="E5" s="98" t="s">
        <v>35</v>
      </c>
      <c r="F5" s="103" t="s">
        <v>38</v>
      </c>
    </row>
    <row r="6" spans="1:6" x14ac:dyDescent="0.25">
      <c r="A6" s="52"/>
      <c r="B6" s="50"/>
      <c r="C6" s="99" t="s">
        <v>190</v>
      </c>
      <c r="D6" s="99" t="s">
        <v>192</v>
      </c>
      <c r="E6" s="99" t="s">
        <v>190</v>
      </c>
      <c r="F6" s="104" t="s">
        <v>192</v>
      </c>
    </row>
    <row r="7" spans="1:6" x14ac:dyDescent="0.25">
      <c r="A7" s="52"/>
      <c r="B7" s="50"/>
      <c r="C7" s="99" t="s">
        <v>189</v>
      </c>
      <c r="D7" s="99" t="s">
        <v>191</v>
      </c>
      <c r="E7" s="99" t="s">
        <v>189</v>
      </c>
      <c r="F7" s="104" t="s">
        <v>191</v>
      </c>
    </row>
    <row r="8" spans="1:6" x14ac:dyDescent="0.25">
      <c r="A8" s="54"/>
      <c r="B8" s="47"/>
      <c r="C8" s="100" t="str">
        <f>+'Loans &amp; Receivables'!C7</f>
        <v>31/12/2017</v>
      </c>
      <c r="D8" s="100" t="str">
        <f>+'Loans &amp; Receivables'!D7</f>
        <v>31/03/2017</v>
      </c>
      <c r="E8" s="100" t="s">
        <v>188</v>
      </c>
      <c r="F8" s="105" t="s">
        <v>188</v>
      </c>
    </row>
    <row r="9" spans="1:6" x14ac:dyDescent="0.25">
      <c r="A9" s="364" t="s">
        <v>213</v>
      </c>
      <c r="B9" s="365"/>
      <c r="C9" s="101"/>
      <c r="D9" s="39"/>
      <c r="E9" s="39"/>
      <c r="F9" s="57"/>
    </row>
    <row r="10" spans="1:6" x14ac:dyDescent="0.25">
      <c r="A10" s="362" t="s">
        <v>312</v>
      </c>
      <c r="B10" s="363"/>
      <c r="C10" s="102">
        <f>+D15</f>
        <v>67575.320000000007</v>
      </c>
      <c r="D10" s="102">
        <v>58356.447000000015</v>
      </c>
      <c r="E10" s="39"/>
      <c r="F10" s="57"/>
    </row>
    <row r="11" spans="1:6" x14ac:dyDescent="0.25">
      <c r="A11" s="362" t="s">
        <v>214</v>
      </c>
      <c r="B11" s="363"/>
      <c r="C11" s="102">
        <f>(3379313.06-684487.78-820000)/1000</f>
        <v>1874.8252800000002</v>
      </c>
      <c r="D11" s="102">
        <v>10551.085999999999</v>
      </c>
      <c r="E11" s="39"/>
      <c r="F11" s="57"/>
    </row>
    <row r="12" spans="1:6" x14ac:dyDescent="0.25">
      <c r="A12" s="362" t="s">
        <v>215</v>
      </c>
      <c r="B12" s="363"/>
      <c r="C12" s="102"/>
      <c r="D12" s="102"/>
      <c r="E12" s="39"/>
      <c r="F12" s="57"/>
    </row>
    <row r="13" spans="1:6" x14ac:dyDescent="0.25">
      <c r="A13" s="362" t="s">
        <v>216</v>
      </c>
      <c r="B13" s="363"/>
      <c r="C13" s="102"/>
      <c r="D13" s="102">
        <v>-1332.213</v>
      </c>
      <c r="E13" s="39"/>
      <c r="F13" s="57"/>
    </row>
    <row r="14" spans="1:6" x14ac:dyDescent="0.25">
      <c r="A14" s="362" t="s">
        <v>217</v>
      </c>
      <c r="B14" s="363"/>
      <c r="C14" s="102"/>
      <c r="D14" s="102"/>
      <c r="E14" s="39"/>
      <c r="F14" s="57"/>
    </row>
    <row r="15" spans="1:6" x14ac:dyDescent="0.25">
      <c r="A15" s="358" t="s">
        <v>313</v>
      </c>
      <c r="B15" s="359"/>
      <c r="C15" s="215">
        <f>C10+C11+C13</f>
        <v>69450.145280000012</v>
      </c>
      <c r="D15" s="164">
        <v>67575.320000000007</v>
      </c>
      <c r="E15" s="39"/>
      <c r="F15" s="57"/>
    </row>
    <row r="16" spans="1:6" x14ac:dyDescent="0.25">
      <c r="A16" s="358" t="s">
        <v>218</v>
      </c>
      <c r="B16" s="359"/>
      <c r="C16" s="102"/>
      <c r="D16" s="102"/>
      <c r="E16" s="39"/>
      <c r="F16" s="57"/>
    </row>
    <row r="17" spans="1:8" x14ac:dyDescent="0.25">
      <c r="A17" s="362" t="s">
        <v>314</v>
      </c>
      <c r="B17" s="363"/>
      <c r="C17" s="102">
        <f>+D21</f>
        <v>29697.542000000001</v>
      </c>
      <c r="D17" s="102">
        <v>30540.614000000001</v>
      </c>
      <c r="E17" s="39"/>
      <c r="F17" s="57"/>
    </row>
    <row r="18" spans="1:8" x14ac:dyDescent="0.25">
      <c r="A18" s="362" t="s">
        <v>214</v>
      </c>
      <c r="B18" s="363"/>
      <c r="C18" s="102">
        <f>+C21-C17-C20</f>
        <v>-28603.688590000002</v>
      </c>
      <c r="D18" s="102">
        <v>-1586.4290000000001</v>
      </c>
      <c r="E18" s="39"/>
      <c r="F18" s="57"/>
    </row>
    <row r="19" spans="1:8" x14ac:dyDescent="0.25">
      <c r="A19" s="362" t="s">
        <v>215</v>
      </c>
      <c r="B19" s="363"/>
      <c r="C19" s="102"/>
      <c r="D19" s="102"/>
      <c r="E19" s="39"/>
      <c r="F19" s="57"/>
    </row>
    <row r="20" spans="1:8" x14ac:dyDescent="0.25">
      <c r="A20" s="362" t="s">
        <v>217</v>
      </c>
      <c r="B20" s="363"/>
      <c r="C20" s="102">
        <f>+(65898+50599)*(153.9-151.75)/1000</f>
        <v>250.46855000000065</v>
      </c>
      <c r="D20" s="102">
        <v>743.35699999999997</v>
      </c>
      <c r="E20" s="39"/>
      <c r="F20" s="57"/>
    </row>
    <row r="21" spans="1:8" x14ac:dyDescent="0.25">
      <c r="A21" s="358" t="s">
        <v>315</v>
      </c>
      <c r="B21" s="359"/>
      <c r="C21" s="164">
        <f>1344321.96/1000</f>
        <v>1344.32196</v>
      </c>
      <c r="D21" s="164">
        <v>29697.542000000001</v>
      </c>
      <c r="E21" s="41"/>
      <c r="F21" s="58"/>
    </row>
    <row r="22" spans="1:8" ht="15.75" thickBot="1" x14ac:dyDescent="0.3">
      <c r="A22" s="360" t="s">
        <v>219</v>
      </c>
      <c r="B22" s="361"/>
      <c r="C22" s="216">
        <f>+C15+C21</f>
        <v>70794.467240000013</v>
      </c>
      <c r="D22" s="216">
        <v>97272.862000000008</v>
      </c>
      <c r="E22" s="124"/>
      <c r="F22" s="125"/>
    </row>
    <row r="23" spans="1:8" x14ac:dyDescent="0.25">
      <c r="H23" s="28"/>
    </row>
    <row r="25" spans="1:8" x14ac:dyDescent="0.25">
      <c r="D25" s="28"/>
    </row>
    <row r="26" spans="1:8" x14ac:dyDescent="0.25">
      <c r="C26" s="28"/>
    </row>
    <row r="27" spans="1:8" x14ac:dyDescent="0.25">
      <c r="D27" s="28"/>
    </row>
    <row r="28" spans="1:8" x14ac:dyDescent="0.25">
      <c r="C28" s="28"/>
      <c r="D28" s="28"/>
    </row>
    <row r="29" spans="1:8" x14ac:dyDescent="0.25">
      <c r="C29" s="28"/>
    </row>
  </sheetData>
  <mergeCells count="17">
    <mergeCell ref="C4:D4"/>
    <mergeCell ref="E4:F4"/>
    <mergeCell ref="A2:F2"/>
    <mergeCell ref="A17:B17"/>
    <mergeCell ref="A9:B9"/>
    <mergeCell ref="A16:B16"/>
    <mergeCell ref="A15:B15"/>
    <mergeCell ref="A10:B10"/>
    <mergeCell ref="A11:B11"/>
    <mergeCell ref="A12:B12"/>
    <mergeCell ref="A13:B13"/>
    <mergeCell ref="A14:B14"/>
    <mergeCell ref="A21:B21"/>
    <mergeCell ref="A22:B22"/>
    <mergeCell ref="A19:B19"/>
    <mergeCell ref="A20:B20"/>
    <mergeCell ref="A18:B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INCOME-I</vt:lpstr>
      <vt:lpstr>INCOME-II</vt:lpstr>
      <vt:lpstr>FINANCIAL POSITION</vt:lpstr>
      <vt:lpstr>CHANGES IN EQUITY</vt:lpstr>
      <vt:lpstr>FINANCIAL INSTRUMENTS</vt:lpstr>
      <vt:lpstr>Cash Flow</vt:lpstr>
      <vt:lpstr>SELECTED PERFORMANCE INDICATORS</vt:lpstr>
      <vt:lpstr>Loans &amp; Receivables</vt:lpstr>
      <vt:lpstr>Impairment</vt:lpstr>
      <vt:lpstr>Customers</vt:lpstr>
      <vt:lpstr>'CHANGES IN EQUITY'!Print_Area</vt:lpstr>
      <vt:lpstr>'INCOME-I'!Print_Area</vt:lpstr>
      <vt:lpstr>'INCOME-II'!Print_Area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user</cp:lastModifiedBy>
  <cp:lastPrinted>2018-02-21T07:35:25Z</cp:lastPrinted>
  <dcterms:created xsi:type="dcterms:W3CDTF">2013-06-10T08:59:36Z</dcterms:created>
  <dcterms:modified xsi:type="dcterms:W3CDTF">2018-02-21T12:34:38Z</dcterms:modified>
</cp:coreProperties>
</file>