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\mydocnew\Returns Monthwise\Dec 2016\Publication\"/>
    </mc:Choice>
  </mc:AlternateContent>
  <bookViews>
    <workbookView xWindow="0" yWindow="0" windowWidth="24000" windowHeight="9735" firstSheet="5" activeTab="8"/>
  </bookViews>
  <sheets>
    <sheet name="INCOME(1)" sheetId="1" r:id="rId1"/>
    <sheet name="INCOME (2)" sheetId="2" r:id="rId2"/>
    <sheet name="FINANCIAL POSITION" sheetId="3" r:id="rId3"/>
    <sheet name="CHANGES IN EQUITY" sheetId="4" r:id="rId4"/>
    <sheet name="FINANCIAL INSTRUMENTS" sheetId="6" r:id="rId5"/>
    <sheet name="SELECTED PERFORMANCE INDICATORS" sheetId="7" r:id="rId6"/>
    <sheet name="Loans &amp; Receivables" sheetId="8" r:id="rId7"/>
    <sheet name="Impairment" sheetId="9" r:id="rId8"/>
    <sheet name="Customers" sheetId="10" r:id="rId9"/>
  </sheets>
  <definedNames>
    <definedName name="_xlnm.Print_Area" localSheetId="3">'CHANGES IN EQUITY'!$A$1:$O$30,'CHANGES IN EQUITY'!$A$34:$O$60</definedName>
    <definedName name="_xlnm.Print_Area" localSheetId="1">'INCOME (2)'!$A$1:$I$32</definedName>
    <definedName name="_xlnm.Print_Area" localSheetId="0">'INCOME(1)'!$B$1:$H$51</definedName>
    <definedName name="_xlnm.Print_Area" localSheetId="6">'Loans &amp; Receivables'!$A$1:$F$40</definedName>
    <definedName name="_xlnm.Print_Area" localSheetId="5">'SELECTED PERFORMANCE INDICATORS'!$A$1:$E$47</definedName>
  </definedNames>
  <calcPr calcId="152511"/>
</workbook>
</file>

<file path=xl/calcChain.xml><?xml version="1.0" encoding="utf-8"?>
<calcChain xmlns="http://schemas.openxmlformats.org/spreadsheetml/2006/main">
  <c r="E30" i="1" l="1"/>
  <c r="E25" i="1"/>
  <c r="F23" i="3" l="1"/>
  <c r="B28" i="7" l="1"/>
  <c r="B10" i="7"/>
  <c r="B9" i="7"/>
  <c r="C28" i="8" l="1"/>
  <c r="C36" i="8"/>
  <c r="C32" i="8" l="1"/>
  <c r="C35" i="8"/>
  <c r="C27" i="8"/>
  <c r="C37" i="8"/>
  <c r="A60" i="4" l="1"/>
  <c r="H57" i="3"/>
  <c r="H52" i="3"/>
  <c r="H49" i="3"/>
  <c r="H44" i="3"/>
  <c r="H43" i="3"/>
  <c r="H42" i="3"/>
  <c r="H38" i="3"/>
  <c r="H33" i="3"/>
  <c r="H30" i="3"/>
  <c r="H29" i="3"/>
  <c r="H26" i="3"/>
  <c r="H23" i="3"/>
  <c r="H22" i="3"/>
  <c r="H21" i="3"/>
  <c r="H20" i="3"/>
  <c r="H15" i="3"/>
  <c r="H14" i="3"/>
  <c r="H13" i="3"/>
  <c r="G43" i="1" l="1"/>
  <c r="G34" i="1"/>
  <c r="G33" i="1"/>
  <c r="G32" i="1"/>
  <c r="G30" i="1"/>
  <c r="G25" i="1"/>
  <c r="G19" i="1"/>
  <c r="G16" i="1"/>
  <c r="G14" i="1"/>
  <c r="G13" i="1"/>
  <c r="C18" i="10"/>
  <c r="C15" i="10"/>
  <c r="C9" i="10"/>
  <c r="C20" i="10"/>
  <c r="C22" i="9"/>
  <c r="C18" i="9"/>
  <c r="C38" i="8"/>
  <c r="F21" i="3"/>
  <c r="C8" i="8"/>
  <c r="C10" i="8"/>
  <c r="C9" i="8"/>
  <c r="E78" i="6"/>
  <c r="F78" i="6"/>
  <c r="G78" i="6"/>
  <c r="H78" i="6"/>
  <c r="D78" i="6"/>
  <c r="B78" i="6"/>
  <c r="C78" i="6"/>
  <c r="G65" i="6"/>
  <c r="B65" i="6"/>
  <c r="G20" i="6" l="1"/>
  <c r="H20" i="6"/>
  <c r="B20" i="6"/>
  <c r="F49" i="3"/>
  <c r="F44" i="3"/>
  <c r="F38" i="3"/>
  <c r="F13" i="3"/>
  <c r="F22" i="2" l="1"/>
  <c r="E18" i="1" l="1"/>
  <c r="E34" i="1"/>
  <c r="E32" i="1"/>
  <c r="H53" i="3" l="1"/>
  <c r="H55" i="3" s="1"/>
  <c r="H50" i="3"/>
  <c r="C33" i="8" l="1"/>
  <c r="C39" i="8" l="1"/>
  <c r="C40" i="8" s="1"/>
  <c r="D7" i="8" l="1"/>
  <c r="D8" i="9"/>
  <c r="C15" i="9" l="1"/>
  <c r="C13" i="9"/>
  <c r="C11" i="9"/>
  <c r="E6" i="7"/>
  <c r="C6" i="7"/>
  <c r="E3" i="6"/>
  <c r="G10" i="2"/>
  <c r="H10" i="2"/>
  <c r="I10" i="2"/>
  <c r="F10" i="2"/>
  <c r="A3" i="7" s="1"/>
  <c r="F9" i="3"/>
  <c r="H9" i="3" s="1"/>
  <c r="D6" i="7" l="1"/>
  <c r="B6" i="7"/>
  <c r="C8" i="9" l="1"/>
  <c r="C7" i="8"/>
  <c r="G27" i="1" l="1"/>
  <c r="C21" i="9" l="1"/>
  <c r="K10" i="4" l="1"/>
  <c r="O10" i="4" l="1"/>
  <c r="O19" i="4"/>
  <c r="O20" i="4"/>
  <c r="O21" i="4"/>
  <c r="O22" i="4"/>
  <c r="O23" i="4"/>
  <c r="O24" i="4"/>
  <c r="O25" i="4"/>
  <c r="O26" i="4"/>
  <c r="O28" i="4"/>
  <c r="O29" i="4"/>
  <c r="F15" i="4"/>
  <c r="G15" i="4"/>
  <c r="I15" i="4"/>
  <c r="J15" i="4"/>
  <c r="K15" i="4"/>
  <c r="L15" i="4"/>
  <c r="N15" i="4"/>
  <c r="H15" i="4"/>
  <c r="M13" i="4" l="1"/>
  <c r="O13" i="4" s="1"/>
  <c r="C11" i="8" l="1"/>
  <c r="D38" i="8" l="1"/>
  <c r="C12" i="10" l="1"/>
  <c r="D20" i="10"/>
  <c r="D37" i="8" l="1"/>
  <c r="D36" i="8"/>
  <c r="D35" i="8"/>
  <c r="D32" i="8"/>
  <c r="D28" i="8"/>
  <c r="D27" i="8"/>
  <c r="D7" i="10"/>
  <c r="D25" i="8"/>
  <c r="D18" i="10"/>
  <c r="D17" i="10"/>
  <c r="D16" i="10"/>
  <c r="D15" i="10"/>
  <c r="D20" i="9"/>
  <c r="D18" i="9"/>
  <c r="D17" i="9"/>
  <c r="D11" i="9"/>
  <c r="D10" i="9"/>
  <c r="D10" i="8"/>
  <c r="D11" i="8" s="1"/>
  <c r="D9" i="8"/>
  <c r="D8" i="8"/>
  <c r="F53" i="3" l="1"/>
  <c r="F52" i="3"/>
  <c r="I57" i="3" l="1"/>
  <c r="I53" i="3"/>
  <c r="I55" i="3" s="1"/>
  <c r="I52" i="3"/>
  <c r="I50" i="3"/>
  <c r="I49" i="3"/>
  <c r="I44" i="3"/>
  <c r="I43" i="3"/>
  <c r="I42" i="3"/>
  <c r="I38" i="3"/>
  <c r="I47" i="3" s="1"/>
  <c r="I33" i="3"/>
  <c r="I30" i="3"/>
  <c r="I29" i="3"/>
  <c r="I26" i="3"/>
  <c r="I23" i="3"/>
  <c r="I22" i="3"/>
  <c r="I21" i="3"/>
  <c r="I20" i="3"/>
  <c r="I15" i="3"/>
  <c r="I14" i="3"/>
  <c r="I13" i="3"/>
  <c r="I31" i="3" s="1"/>
  <c r="G52" i="3"/>
  <c r="G53" i="3" s="1"/>
  <c r="G55" i="3" s="1"/>
  <c r="G56" i="3" s="1"/>
  <c r="G44" i="3"/>
  <c r="G43" i="3"/>
  <c r="G41" i="3"/>
  <c r="G38" i="3"/>
  <c r="G33" i="3"/>
  <c r="G47" i="3" s="1"/>
  <c r="G30" i="3"/>
  <c r="G23" i="3"/>
  <c r="G21" i="3"/>
  <c r="G13" i="3"/>
  <c r="I56" i="3" l="1"/>
  <c r="G15" i="3"/>
  <c r="G31" i="3" s="1"/>
  <c r="H46" i="1" l="1"/>
  <c r="F46" i="1" l="1"/>
  <c r="D21" i="9" l="1"/>
  <c r="C19" i="10" l="1"/>
  <c r="C21" i="10" s="1"/>
  <c r="C16" i="8"/>
  <c r="F153" i="6" l="1"/>
  <c r="D153" i="6"/>
  <c r="I167" i="6"/>
  <c r="I166" i="6"/>
  <c r="I165" i="6"/>
  <c r="I164" i="6"/>
  <c r="I163" i="6"/>
  <c r="I162" i="6"/>
  <c r="I161" i="6"/>
  <c r="I160" i="6"/>
  <c r="D154" i="6"/>
  <c r="F154" i="6"/>
  <c r="I152" i="6"/>
  <c r="I151" i="6"/>
  <c r="I150" i="6"/>
  <c r="I149" i="6"/>
  <c r="I148" i="6"/>
  <c r="I147" i="6"/>
  <c r="I146" i="6"/>
  <c r="I145" i="6"/>
  <c r="I144" i="6"/>
  <c r="I122" i="6"/>
  <c r="I121" i="6"/>
  <c r="I120" i="6"/>
  <c r="I119" i="6"/>
  <c r="I118" i="6"/>
  <c r="I117" i="6"/>
  <c r="I116" i="6"/>
  <c r="I115" i="6"/>
  <c r="F110" i="6"/>
  <c r="D110" i="6"/>
  <c r="I108" i="6"/>
  <c r="I107" i="6"/>
  <c r="I106" i="6"/>
  <c r="I105" i="6"/>
  <c r="I104" i="6"/>
  <c r="I103" i="6"/>
  <c r="I102" i="6"/>
  <c r="I101" i="6"/>
  <c r="I100" i="6"/>
  <c r="I153" i="6" l="1"/>
  <c r="I154" i="6" s="1"/>
  <c r="I109" i="6"/>
  <c r="I110" i="6" s="1"/>
  <c r="G26" i="2" l="1"/>
  <c r="F26" i="2"/>
  <c r="F47" i="3" l="1"/>
  <c r="F31" i="3" l="1"/>
  <c r="H65" i="6" l="1"/>
  <c r="I54" i="6"/>
  <c r="I55" i="6"/>
  <c r="F55" i="3"/>
  <c r="I64" i="6" l="1"/>
  <c r="E65" i="6"/>
  <c r="E27" i="1"/>
  <c r="E15" i="1"/>
  <c r="C7" i="10" l="1"/>
  <c r="C25" i="8"/>
  <c r="E30" i="6"/>
  <c r="E26" i="6"/>
  <c r="I26" i="6" s="1"/>
  <c r="I18" i="6"/>
  <c r="D19" i="6"/>
  <c r="D20" i="6" s="1"/>
  <c r="F19" i="6"/>
  <c r="E17" i="6"/>
  <c r="I17" i="6" s="1"/>
  <c r="E16" i="6"/>
  <c r="I16" i="6" s="1"/>
  <c r="E12" i="6"/>
  <c r="I12" i="6" s="1"/>
  <c r="E11" i="6"/>
  <c r="I11" i="6" s="1"/>
  <c r="E10" i="6"/>
  <c r="I10" i="6" s="1"/>
  <c r="H31" i="3"/>
  <c r="K30" i="4"/>
  <c r="C65" i="6"/>
  <c r="C20" i="6"/>
  <c r="K45" i="4"/>
  <c r="I45" i="4"/>
  <c r="J45" i="4"/>
  <c r="J59" i="4"/>
  <c r="J60" i="4" s="1"/>
  <c r="O54" i="4"/>
  <c r="O55" i="4"/>
  <c r="M54" i="4"/>
  <c r="M55" i="4"/>
  <c r="M56" i="4"/>
  <c r="O56" i="4" s="1"/>
  <c r="M43" i="4"/>
  <c r="O43" i="4"/>
  <c r="D16" i="8"/>
  <c r="D15" i="9"/>
  <c r="D22" i="9" s="1"/>
  <c r="I78" i="6"/>
  <c r="L45" i="4"/>
  <c r="F45" i="4"/>
  <c r="H30" i="4"/>
  <c r="I30" i="4"/>
  <c r="L30" i="4"/>
  <c r="D33" i="8"/>
  <c r="D39" i="8"/>
  <c r="M58" i="4"/>
  <c r="O58" i="4" s="1"/>
  <c r="H47" i="3"/>
  <c r="H56" i="3" s="1"/>
  <c r="M14" i="4"/>
  <c r="M53" i="4"/>
  <c r="O53" i="4" s="1"/>
  <c r="M49" i="4"/>
  <c r="O49" i="4" s="1"/>
  <c r="G15" i="1"/>
  <c r="G18" i="1"/>
  <c r="D13" i="10"/>
  <c r="D19" i="10"/>
  <c r="L59" i="4"/>
  <c r="I59" i="4"/>
  <c r="I60" i="4" s="1"/>
  <c r="F59" i="4"/>
  <c r="I13" i="6"/>
  <c r="I14" i="6"/>
  <c r="I15" i="6"/>
  <c r="I77" i="6"/>
  <c r="I76" i="6"/>
  <c r="I75" i="6"/>
  <c r="I74" i="6"/>
  <c r="I73" i="6"/>
  <c r="I72" i="6"/>
  <c r="I71" i="6"/>
  <c r="F65" i="6"/>
  <c r="D65" i="6"/>
  <c r="I63" i="6"/>
  <c r="I62" i="6"/>
  <c r="I61" i="6"/>
  <c r="I60" i="6"/>
  <c r="I59" i="6"/>
  <c r="I58" i="6"/>
  <c r="I57" i="6"/>
  <c r="I56" i="6"/>
  <c r="H26" i="2"/>
  <c r="I26" i="2"/>
  <c r="I27" i="6"/>
  <c r="I28" i="6"/>
  <c r="I29" i="6"/>
  <c r="I31" i="6"/>
  <c r="I32" i="6"/>
  <c r="F20" i="6"/>
  <c r="M42" i="4"/>
  <c r="O42" i="4"/>
  <c r="M44" i="4"/>
  <c r="O44" i="4"/>
  <c r="G59" i="4"/>
  <c r="H59" i="4"/>
  <c r="K59" i="4"/>
  <c r="N59" i="4"/>
  <c r="N45" i="4"/>
  <c r="H45" i="4"/>
  <c r="H60" i="4"/>
  <c r="G45" i="4"/>
  <c r="G60" i="4"/>
  <c r="J30" i="4"/>
  <c r="G30" i="4"/>
  <c r="N30" i="4"/>
  <c r="F30" i="4"/>
  <c r="N60" i="4"/>
  <c r="M45" i="4" l="1"/>
  <c r="O45" i="4" s="1"/>
  <c r="O14" i="4"/>
  <c r="M15" i="4"/>
  <c r="O15" i="4" s="1"/>
  <c r="D40" i="8"/>
  <c r="I19" i="6"/>
  <c r="I20" i="6" s="1"/>
  <c r="K60" i="4"/>
  <c r="L60" i="4"/>
  <c r="F60" i="4"/>
  <c r="I65" i="6"/>
  <c r="G26" i="1"/>
  <c r="G31" i="1" s="1"/>
  <c r="G35" i="1" s="1"/>
  <c r="G38" i="1" s="1"/>
  <c r="G42" i="1" s="1"/>
  <c r="G44" i="1" s="1"/>
  <c r="G46" i="1" s="1"/>
  <c r="E33" i="6"/>
  <c r="I33" i="6" s="1"/>
  <c r="I30" i="6"/>
  <c r="M59" i="4"/>
  <c r="M60" i="4" s="1"/>
  <c r="O60" i="4" s="1"/>
  <c r="O59" i="4"/>
  <c r="I12" i="2"/>
  <c r="I28" i="2" s="1"/>
  <c r="I31" i="2" s="1"/>
  <c r="G12" i="2"/>
  <c r="G28" i="2" s="1"/>
  <c r="G31" i="2" s="1"/>
  <c r="F56" i="3"/>
  <c r="E20" i="6"/>
  <c r="E26" i="1"/>
  <c r="H12" i="2" l="1"/>
  <c r="H28" i="2" s="1"/>
  <c r="H31" i="2" s="1"/>
  <c r="E31" i="1"/>
  <c r="E35" i="1" s="1"/>
  <c r="E38" i="1" s="1"/>
  <c r="E42" i="1" s="1"/>
  <c r="E44" i="1" s="1"/>
  <c r="M30" i="4"/>
  <c r="O30" i="4" s="1"/>
  <c r="F12" i="2" l="1"/>
  <c r="F28" i="2" s="1"/>
  <c r="F31" i="2" s="1"/>
  <c r="E46" i="1"/>
</calcChain>
</file>

<file path=xl/comments1.xml><?xml version="1.0" encoding="utf-8"?>
<comments xmlns="http://schemas.openxmlformats.org/spreadsheetml/2006/main">
  <authors>
    <author>Sahana Ms.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Sahana Ms.:</t>
        </r>
        <r>
          <rPr>
            <sz val="9"/>
            <color indexed="81"/>
            <rFont val="Tahoma"/>
            <family val="2"/>
          </rPr>
          <t xml:space="preserve">
11-2A - Eligible Core Capital 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Sahana Ms.:</t>
        </r>
        <r>
          <rPr>
            <sz val="9"/>
            <color indexed="81"/>
            <rFont val="Tahoma"/>
            <family val="2"/>
          </rPr>
          <t xml:space="preserve">
11-2A - Capital Base</t>
        </r>
      </text>
    </comment>
  </commentList>
</comments>
</file>

<file path=xl/comments2.xml><?xml version="1.0" encoding="utf-8"?>
<comments xmlns="http://schemas.openxmlformats.org/spreadsheetml/2006/main">
  <authors>
    <author>Sahana Ms.</author>
  </authors>
  <commentList>
    <comment ref="C13" authorId="0" shapeId="0">
      <text>
        <r>
          <rPr>
            <b/>
            <sz val="9"/>
            <color indexed="81"/>
            <rFont val="Tahoma"/>
            <charset val="1"/>
          </rPr>
          <t>Sahana Ms.:</t>
        </r>
        <r>
          <rPr>
            <sz val="9"/>
            <color indexed="81"/>
            <rFont val="Tahoma"/>
            <charset val="1"/>
          </rPr>
          <t xml:space="preserve">
Pubudu Construction capital write off amt</t>
        </r>
      </text>
    </comment>
  </commentList>
</comments>
</file>

<file path=xl/sharedStrings.xml><?xml version="1.0" encoding="utf-8"?>
<sst xmlns="http://schemas.openxmlformats.org/spreadsheetml/2006/main" count="670" uniqueCount="298">
  <si>
    <t xml:space="preserve">INCOME STATEMENT </t>
  </si>
  <si>
    <t>In Rupees Thousand</t>
  </si>
  <si>
    <t>Interest Income</t>
  </si>
  <si>
    <t>Interest expenses</t>
  </si>
  <si>
    <t>Net Interest income</t>
  </si>
  <si>
    <t xml:space="preserve">Fee and Commission income </t>
  </si>
  <si>
    <t>Fee and Commission expenses</t>
  </si>
  <si>
    <t>Net fee and Commission income</t>
  </si>
  <si>
    <t>Net gain / (loss) from trading</t>
  </si>
  <si>
    <t>Net gain / (loss) from financial</t>
  </si>
  <si>
    <t>instruments designated at fair value</t>
  </si>
  <si>
    <t>investments</t>
  </si>
  <si>
    <t>Total operating income</t>
  </si>
  <si>
    <t>Impairment for loans and other losses</t>
  </si>
  <si>
    <t xml:space="preserve">        Individual Impairment</t>
  </si>
  <si>
    <t xml:space="preserve">        Collective Impairment</t>
  </si>
  <si>
    <t xml:space="preserve">        Others</t>
  </si>
  <si>
    <t>Net Operating income</t>
  </si>
  <si>
    <t>Personal expenses</t>
  </si>
  <si>
    <t xml:space="preserve">Depreciation and amortisaiton </t>
  </si>
  <si>
    <t>Other expenses</t>
  </si>
  <si>
    <t xml:space="preserve">Operating profit / (loss) before value </t>
  </si>
  <si>
    <t>added tax (VAT)</t>
  </si>
  <si>
    <t xml:space="preserve">Share or profits of associates and joint </t>
  </si>
  <si>
    <t>ventures</t>
  </si>
  <si>
    <t>Value added tax (VAT) on financial services</t>
  </si>
  <si>
    <t xml:space="preserve">Operating profit / (loss) after value </t>
  </si>
  <si>
    <t>Profit / (loss) before tax</t>
  </si>
  <si>
    <t>Tax expenses</t>
  </si>
  <si>
    <t>Profit / (loss) for the period</t>
  </si>
  <si>
    <t>Profit attributable to :</t>
  </si>
  <si>
    <t>Owners of the parent</t>
  </si>
  <si>
    <t>Non-controlling  interest</t>
  </si>
  <si>
    <t>Basic earnings per ordinary share</t>
  </si>
  <si>
    <t>Bank</t>
  </si>
  <si>
    <t xml:space="preserve">Current </t>
  </si>
  <si>
    <t>From</t>
  </si>
  <si>
    <t>to</t>
  </si>
  <si>
    <t>Previous</t>
  </si>
  <si>
    <t>INDIAN OVERSEAS BANK</t>
  </si>
  <si>
    <t xml:space="preserve">STATEMENT OF COMPREHENSIVE INCOME </t>
  </si>
  <si>
    <t>Profit (loss) for the period</t>
  </si>
  <si>
    <t>Other comprehensive income, net of tax</t>
  </si>
  <si>
    <t>Changes in revaluation surplus</t>
  </si>
  <si>
    <t xml:space="preserve">Gains and losses (arising from translating </t>
  </si>
  <si>
    <t>Group</t>
  </si>
  <si>
    <t xml:space="preserve">Gains and losses on re - measuring </t>
  </si>
  <si>
    <t xml:space="preserve">available-for-sale financial assets </t>
  </si>
  <si>
    <t xml:space="preserve">Gains and losses on cash flow hedges </t>
  </si>
  <si>
    <t xml:space="preserve">Less : Tax expense / (income) relating to </t>
  </si>
  <si>
    <t>Other comprehensive income for the period,</t>
  </si>
  <si>
    <t>Attributable to :</t>
  </si>
  <si>
    <t>Non -controlling interests</t>
  </si>
  <si>
    <t>Assets</t>
  </si>
  <si>
    <t>Balances with central banks</t>
  </si>
  <si>
    <t>Placements with banks</t>
  </si>
  <si>
    <t>Derivative financial instruments</t>
  </si>
  <si>
    <t>Other financial assets held-for-trading</t>
  </si>
  <si>
    <t>Others</t>
  </si>
  <si>
    <t>Share of profits of associats and joint ventures</t>
  </si>
  <si>
    <t>components of other comprehensive income</t>
  </si>
  <si>
    <t>net of taxes</t>
  </si>
  <si>
    <t>Total comprehensive income for the perid</t>
  </si>
  <si>
    <t>Financial assets designated at fair value</t>
  </si>
  <si>
    <t>through profit or loss</t>
  </si>
  <si>
    <t>Loans and receivables to other customers</t>
  </si>
  <si>
    <t>Financial investments - Available -for -sale</t>
  </si>
  <si>
    <t>Financial investments - Held -to -maturity</t>
  </si>
  <si>
    <t>Investments in subsidiaries</t>
  </si>
  <si>
    <t>Investments in associates and joint ventures</t>
  </si>
  <si>
    <t>Investment properties</t>
  </si>
  <si>
    <t>Goodwill and tangible assets</t>
  </si>
  <si>
    <t>Other assets</t>
  </si>
  <si>
    <t>Total assets</t>
  </si>
  <si>
    <t>Liabilities</t>
  </si>
  <si>
    <t>Due to banks</t>
  </si>
  <si>
    <t>Other borrowings</t>
  </si>
  <si>
    <t>Debts securities issued</t>
  </si>
  <si>
    <t>Current tax liabilities</t>
  </si>
  <si>
    <t>Other provisions</t>
  </si>
  <si>
    <t>Other liabilities</t>
  </si>
  <si>
    <t>Due to subsidiaries</t>
  </si>
  <si>
    <t>Subordinated term debts</t>
  </si>
  <si>
    <t>Total liabilities</t>
  </si>
  <si>
    <t>Equity</t>
  </si>
  <si>
    <t>Stated capital / Assigned capital</t>
  </si>
  <si>
    <t>Statutory reserve fund</t>
  </si>
  <si>
    <t>Retained earnings</t>
  </si>
  <si>
    <t>Other reserves</t>
  </si>
  <si>
    <t>Total shareholders' equity</t>
  </si>
  <si>
    <t>Non-controlling interest</t>
  </si>
  <si>
    <t>Total equity</t>
  </si>
  <si>
    <t>Total equity and liabilities</t>
  </si>
  <si>
    <t>Contingent liabilities and commitments</t>
  </si>
  <si>
    <t>Memorandum Information</t>
  </si>
  <si>
    <t xml:space="preserve">       Number of Employees</t>
  </si>
  <si>
    <t xml:space="preserve">       Number of Branches</t>
  </si>
  <si>
    <t>STATEMENT OF CHANGES IN EQUITY</t>
  </si>
  <si>
    <t>Total comprehensive income for the year</t>
  </si>
  <si>
    <t>Profit/(loss) for the year</t>
  </si>
  <si>
    <t>Other comprehensive income (net of tax)</t>
  </si>
  <si>
    <t>Transactions with equity holders,</t>
  </si>
  <si>
    <t>recognised directly in equity</t>
  </si>
  <si>
    <t>Share issue/increase of assigned capital</t>
  </si>
  <si>
    <t>Share options excercised</t>
  </si>
  <si>
    <t>Bonus issue</t>
  </si>
  <si>
    <t>Rights issue</t>
  </si>
  <si>
    <t>Transferres to reserve during the period</t>
  </si>
  <si>
    <t>Dividends to equity holdres</t>
  </si>
  <si>
    <t>Profit transferred to head office</t>
  </si>
  <si>
    <t xml:space="preserve">Gain / (loss) on revaluation of Property, Plant </t>
  </si>
  <si>
    <t>and Equipment (if cost method is adopted)</t>
  </si>
  <si>
    <t>Others (Please specify)</t>
  </si>
  <si>
    <t>Total transactions with equity holders</t>
  </si>
  <si>
    <t>Stated capital/Assigned capital)</t>
  </si>
  <si>
    <t>Ordinary</t>
  </si>
  <si>
    <t xml:space="preserve">voting </t>
  </si>
  <si>
    <t>shares</t>
  </si>
  <si>
    <t>non-voting</t>
  </si>
  <si>
    <t>Assigned</t>
  </si>
  <si>
    <t>capital</t>
  </si>
  <si>
    <t>Reserve</t>
  </si>
  <si>
    <t>fund</t>
  </si>
  <si>
    <t>Reserves</t>
  </si>
  <si>
    <t>Revaluation</t>
  </si>
  <si>
    <t>reserve</t>
  </si>
  <si>
    <t xml:space="preserve">Retained </t>
  </si>
  <si>
    <t>earnings</t>
  </si>
  <si>
    <t xml:space="preserve">Other </t>
  </si>
  <si>
    <t>reserves</t>
  </si>
  <si>
    <t>Total</t>
  </si>
  <si>
    <t>interest</t>
  </si>
  <si>
    <t>a. Bank - Current period</t>
  </si>
  <si>
    <t>ASSETS</t>
  </si>
  <si>
    <t>Cash and cash equivalents</t>
  </si>
  <si>
    <t xml:space="preserve">Other financial assets at fair </t>
  </si>
  <si>
    <t>value through profit or loss</t>
  </si>
  <si>
    <t>Loans and receivables to banks</t>
  </si>
  <si>
    <t>Financial investments</t>
  </si>
  <si>
    <t>Total financial assets</t>
  </si>
  <si>
    <t>LIABILITIES</t>
  </si>
  <si>
    <t xml:space="preserve">Other financial liabilities at fair </t>
  </si>
  <si>
    <t>Due to other customers</t>
  </si>
  <si>
    <t>Debt securities issued</t>
  </si>
  <si>
    <t>Held for trading - HFT</t>
  </si>
  <si>
    <t>Designated at fair value through profit or loss - Designated at fair value</t>
  </si>
  <si>
    <t>Loans and receivables / deposits at amortised cost - Amortised cost</t>
  </si>
  <si>
    <t>Held-to-maturity - HTM</t>
  </si>
  <si>
    <t>Available-for-sale - AFS</t>
  </si>
  <si>
    <t>Instruments of fair value and cash flow hedging - Hedging</t>
  </si>
  <si>
    <t xml:space="preserve">Designated </t>
  </si>
  <si>
    <t xml:space="preserve">at fair </t>
  </si>
  <si>
    <t>value</t>
  </si>
  <si>
    <t>HTM</t>
  </si>
  <si>
    <t>Amortised</t>
  </si>
  <si>
    <t>cost</t>
  </si>
  <si>
    <t>AFS</t>
  </si>
  <si>
    <t>Hedging</t>
  </si>
  <si>
    <t xml:space="preserve">Total financial liabilities </t>
  </si>
  <si>
    <t>ANALYSIS OF FINANCIAL INSTRUMENTS BY MEASURMENT BASIS</t>
  </si>
  <si>
    <t>Regulatory Capital Adequacy</t>
  </si>
  <si>
    <t>Assets (Minimum Requirement, 5%)</t>
  </si>
  <si>
    <t xml:space="preserve">Total Capital Adequacy Ratio, as % of Risk Weigted </t>
  </si>
  <si>
    <t xml:space="preserve">Core Capital Adequacy Ratio, as % of Risk Weighted </t>
  </si>
  <si>
    <t>Assets (Minimum Requirement, 10%)</t>
  </si>
  <si>
    <t>Assets Quality (Quality of Loan Portfolio)</t>
  </si>
  <si>
    <t>Gross Non-Performing Advances Ratio, % (net of</t>
  </si>
  <si>
    <t>interest in suspense)</t>
  </si>
  <si>
    <t xml:space="preserve">Net-Non Performing Advances, % (net of interest in </t>
  </si>
  <si>
    <t>suspense and provision)</t>
  </si>
  <si>
    <t>Profitability</t>
  </si>
  <si>
    <t>Interest Margin, %</t>
  </si>
  <si>
    <t>Return on Assets (befor Tax), %</t>
  </si>
  <si>
    <t>Return on Equity, %</t>
  </si>
  <si>
    <t>Regulatory Liquidity</t>
  </si>
  <si>
    <t>Statutory Liquid Assets Ratio, % (Minimum</t>
  </si>
  <si>
    <t>Requirement, 20%)</t>
  </si>
  <si>
    <t xml:space="preserve">   Domestic Banking Unit</t>
  </si>
  <si>
    <t xml:space="preserve">   Off - shore Banking Unit</t>
  </si>
  <si>
    <t>As at</t>
  </si>
  <si>
    <t>in LKR</t>
  </si>
  <si>
    <t>in INR</t>
  </si>
  <si>
    <t>Loans and receivables to Banks</t>
  </si>
  <si>
    <t xml:space="preserve"> Group</t>
  </si>
  <si>
    <t>Loans and receivables to other Customers</t>
  </si>
  <si>
    <t>Acturial gains and loses on defined benefit plans</t>
  </si>
  <si>
    <t xml:space="preserve">        the financial statements of a foreign operation</t>
  </si>
  <si>
    <t>DD/MM/YY</t>
  </si>
  <si>
    <t>as at</t>
  </si>
  <si>
    <t xml:space="preserve">Period </t>
  </si>
  <si>
    <t xml:space="preserve"> as at</t>
  </si>
  <si>
    <t xml:space="preserve"> Period</t>
  </si>
  <si>
    <t>Gross loans and receivables</t>
  </si>
  <si>
    <t xml:space="preserve">(Less) : </t>
  </si>
  <si>
    <t>Collective impairment</t>
  </si>
  <si>
    <t>Individual impairment</t>
  </si>
  <si>
    <t>Net loans and receivables including those</t>
  </si>
  <si>
    <t>profit or loss</t>
  </si>
  <si>
    <t>designated at fair value through</t>
  </si>
  <si>
    <t>Loans and receivables designated</t>
  </si>
  <si>
    <t>at fair value through profit or loss</t>
  </si>
  <si>
    <t>Net loans and receivables</t>
  </si>
  <si>
    <t>By Product - Domestic Currecy</t>
  </si>
  <si>
    <t>Overdrafts</t>
  </si>
  <si>
    <t>Term Loans</t>
  </si>
  <si>
    <t>Lease Rentals Receivable</t>
  </si>
  <si>
    <t>Credit Cards</t>
  </si>
  <si>
    <t>Pawning</t>
  </si>
  <si>
    <t>Sub Total</t>
  </si>
  <si>
    <t>By Product - Foreign Currecy</t>
  </si>
  <si>
    <t xml:space="preserve">3) Movements in Individual  and Collective Impairment during the period for </t>
  </si>
  <si>
    <t xml:space="preserve">     Loans and Receivables for Other Customers</t>
  </si>
  <si>
    <t>Individual Impairment</t>
  </si>
  <si>
    <t>Charge/(Write back) to income</t>
  </si>
  <si>
    <t>Statement</t>
  </si>
  <si>
    <t>Write-Off during the year</t>
  </si>
  <si>
    <t>Other Movements</t>
  </si>
  <si>
    <t>Collective Impairment</t>
  </si>
  <si>
    <t>Total Impairment</t>
  </si>
  <si>
    <t>4) Due to Other Customers - By Product</t>
  </si>
  <si>
    <t>Demand Deposits (Current Accounts)</t>
  </si>
  <si>
    <t>Savings Deposits</t>
  </si>
  <si>
    <t>Fixed Deposits</t>
  </si>
  <si>
    <t>Other Deposits (Dormant/Margin)</t>
  </si>
  <si>
    <t>1) Loans and Receivables to Other Customers</t>
  </si>
  <si>
    <t>2) Loans and Receivables to Other Customers - By Product</t>
  </si>
  <si>
    <t xml:space="preserve">STATEMENT OF FINANCIAL POSITION </t>
  </si>
  <si>
    <t xml:space="preserve"> </t>
  </si>
  <si>
    <t>ANALYSIS OF FINANCIAL INSTRUMENTS BY MEASUREMENT BASIS</t>
  </si>
  <si>
    <t>In Indian Rupees Thousand</t>
  </si>
  <si>
    <t>Other Loans (Demand /TC)</t>
  </si>
  <si>
    <t>Others-Foreign exchange gain - FCBU</t>
  </si>
  <si>
    <t>Certification</t>
  </si>
  <si>
    <t>HFT</t>
  </si>
  <si>
    <t>Other operating income (net)</t>
  </si>
  <si>
    <t>Earnings per share on profit</t>
  </si>
  <si>
    <t>Equity Holders of the parent</t>
  </si>
  <si>
    <t>Previous Period</t>
  </si>
  <si>
    <t>Current Period</t>
  </si>
  <si>
    <t xml:space="preserve">Current Period </t>
  </si>
  <si>
    <t>Diluted earnings per ordinary share</t>
  </si>
  <si>
    <t xml:space="preserve">Cash and cash equivalents </t>
  </si>
  <si>
    <t>Property, plant and equipment</t>
  </si>
  <si>
    <t>Financial liabilities designated at fair value</t>
  </si>
  <si>
    <t xml:space="preserve">Non controlling </t>
  </si>
  <si>
    <t>b. Bank - Previous Period</t>
  </si>
  <si>
    <t>Country Head</t>
  </si>
  <si>
    <t>Deffered tax liabilities</t>
  </si>
  <si>
    <t xml:space="preserve">Trade Finance </t>
  </si>
  <si>
    <t>01.04.2015</t>
  </si>
  <si>
    <t>0.00%</t>
  </si>
  <si>
    <t>(Audited)</t>
  </si>
  <si>
    <t>SELECTED PERFORMANCE INDICATORS (AS PER REGULATORY REPORTING)</t>
  </si>
  <si>
    <t>31.03.2016</t>
  </si>
  <si>
    <t>AS AT 31.03.2016</t>
  </si>
  <si>
    <t>AS AT 31.03.2015</t>
  </si>
  <si>
    <t>11.89%</t>
  </si>
  <si>
    <t>1.94%</t>
  </si>
  <si>
    <t>56.29%</t>
  </si>
  <si>
    <t>56.55%</t>
  </si>
  <si>
    <t>0.95%</t>
  </si>
  <si>
    <t>111.32%</t>
  </si>
  <si>
    <t>76.73%</t>
  </si>
  <si>
    <t>Compliance Officer</t>
  </si>
  <si>
    <t xml:space="preserve">We, the undersigned, being the Chief Executive Officer and the Compliance Officer of Indian Overseas Bank certify jointly that:
(a) The above statements have been prepared in compliance with the format and definitions prescribed by the Central Bank of Sri Lanka.
</t>
  </si>
  <si>
    <t>S Subamuralitharan</t>
  </si>
  <si>
    <t>c. Group - Current period</t>
  </si>
  <si>
    <t>d. Group - Previous Period</t>
  </si>
  <si>
    <t xml:space="preserve">Opening balance </t>
  </si>
  <si>
    <t>Closing balance</t>
  </si>
  <si>
    <t>Opening balance</t>
  </si>
  <si>
    <t xml:space="preserve">Closing balance at </t>
  </si>
  <si>
    <t>01.04.2016</t>
  </si>
  <si>
    <t xml:space="preserve">Previous Period </t>
  </si>
  <si>
    <t xml:space="preserve">in LKR million </t>
  </si>
  <si>
    <t xml:space="preserve">in INR milion </t>
  </si>
  <si>
    <t>Deffered tax assets</t>
  </si>
  <si>
    <t>Balance as at 01/04/16</t>
  </si>
  <si>
    <t>Statutory Liquid Assets</t>
  </si>
  <si>
    <t>Core Capital (Tier 1 Capital)</t>
  </si>
  <si>
    <t>Total Capital Base</t>
  </si>
  <si>
    <t xml:space="preserve"> (b) The information  contained in these  statements have been extracted from the unaudited financial statement of the Bank, unless indicated as audited.</t>
  </si>
  <si>
    <t>Financial Parameters</t>
  </si>
  <si>
    <t>In Rupees Thousands</t>
  </si>
  <si>
    <t>In Rupees Thousands                                  LKR</t>
  </si>
  <si>
    <t>In Rupees Thousands                                    INR</t>
  </si>
  <si>
    <t>SLDB</t>
  </si>
  <si>
    <t>AS AT</t>
  </si>
  <si>
    <t>A Radhakrishnaiah</t>
  </si>
  <si>
    <t>FOR THE PERIOD ENDED 31.12.2016</t>
  </si>
  <si>
    <t>31.12.2016</t>
  </si>
  <si>
    <t>31.12.2015</t>
  </si>
  <si>
    <t>AS AT 31.12.2015</t>
  </si>
  <si>
    <t>Balance as at  31/12/2016</t>
  </si>
  <si>
    <t>14.32</t>
  </si>
  <si>
    <t>1.18%</t>
  </si>
  <si>
    <t>Date: 16.02.2017</t>
  </si>
  <si>
    <t>AS AT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</si>
</sst>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Calibri"/>
      <family val="2"/>
    </font>
    <font>
      <sz val="12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17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336"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49" fontId="5" fillId="0" borderId="0" xfId="0" applyNumberFormat="1" applyFont="1"/>
    <xf numFmtId="49" fontId="4" fillId="0" borderId="1" xfId="0" applyNumberFormat="1" applyFont="1" applyBorder="1"/>
    <xf numFmtId="49" fontId="5" fillId="0" borderId="1" xfId="0" applyNumberFormat="1" applyFont="1" applyBorder="1"/>
    <xf numFmtId="49" fontId="4" fillId="0" borderId="2" xfId="0" applyNumberFormat="1" applyFont="1" applyBorder="1"/>
    <xf numFmtId="49" fontId="5" fillId="0" borderId="2" xfId="0" applyNumberFormat="1" applyFont="1" applyBorder="1"/>
    <xf numFmtId="49" fontId="5" fillId="0" borderId="3" xfId="0" applyNumberFormat="1" applyFont="1" applyBorder="1"/>
    <xf numFmtId="49" fontId="5" fillId="0" borderId="0" xfId="0" applyNumberFormat="1" applyFont="1" applyBorder="1"/>
    <xf numFmtId="49" fontId="4" fillId="0" borderId="0" xfId="0" applyNumberFormat="1" applyFont="1" applyBorder="1"/>
    <xf numFmtId="49" fontId="5" fillId="0" borderId="4" xfId="0" applyNumberFormat="1" applyFont="1" applyBorder="1"/>
    <xf numFmtId="164" fontId="5" fillId="0" borderId="0" xfId="1" applyNumberFormat="1" applyFont="1"/>
    <xf numFmtId="164" fontId="2" fillId="0" borderId="0" xfId="1" applyNumberFormat="1" applyFont="1"/>
    <xf numFmtId="49" fontId="3" fillId="0" borderId="0" xfId="0" applyNumberFormat="1" applyFont="1"/>
    <xf numFmtId="49" fontId="0" fillId="0" borderId="0" xfId="0" applyNumberFormat="1" applyFont="1"/>
    <xf numFmtId="2" fontId="0" fillId="0" borderId="0" xfId="0" applyNumberFormat="1"/>
    <xf numFmtId="43" fontId="2" fillId="0" borderId="0" xfId="1" applyFont="1"/>
    <xf numFmtId="2" fontId="2" fillId="0" borderId="0" xfId="1" applyNumberFormat="1" applyFont="1"/>
    <xf numFmtId="4" fontId="2" fillId="0" borderId="0" xfId="1" applyNumberFormat="1" applyFont="1"/>
    <xf numFmtId="49" fontId="6" fillId="0" borderId="0" xfId="0" applyNumberFormat="1" applyFont="1" applyBorder="1"/>
    <xf numFmtId="0" fontId="0" fillId="0" borderId="0" xfId="0" applyBorder="1"/>
    <xf numFmtId="0" fontId="3" fillId="0" borderId="0" xfId="0" applyFont="1"/>
    <xf numFmtId="0" fontId="3" fillId="0" borderId="0" xfId="0" applyFont="1" applyBorder="1"/>
    <xf numFmtId="164" fontId="4" fillId="0" borderId="0" xfId="1" applyNumberFormat="1" applyFont="1" applyBorder="1"/>
    <xf numFmtId="164" fontId="8" fillId="0" borderId="0" xfId="1" applyNumberFormat="1" applyFont="1"/>
    <xf numFmtId="164" fontId="8" fillId="0" borderId="0" xfId="1" applyNumberFormat="1" applyFont="1" applyBorder="1"/>
    <xf numFmtId="0" fontId="4" fillId="0" borderId="0" xfId="0" applyFont="1"/>
    <xf numFmtId="164" fontId="0" fillId="0" borderId="0" xfId="0" applyNumberFormat="1"/>
    <xf numFmtId="164" fontId="0" fillId="0" borderId="0" xfId="0" applyNumberFormat="1" applyBorder="1"/>
    <xf numFmtId="49" fontId="5" fillId="0" borderId="0" xfId="0" applyNumberFormat="1" applyFont="1" applyAlignment="1">
      <alignment horizontal="center"/>
    </xf>
    <xf numFmtId="42" fontId="0" fillId="0" borderId="0" xfId="0" applyNumberFormat="1"/>
    <xf numFmtId="49" fontId="4" fillId="0" borderId="5" xfId="0" applyNumberFormat="1" applyFont="1" applyBorder="1"/>
    <xf numFmtId="49" fontId="5" fillId="0" borderId="5" xfId="0" applyNumberFormat="1" applyFont="1" applyBorder="1"/>
    <xf numFmtId="2" fontId="5" fillId="0" borderId="5" xfId="1" applyNumberFormat="1" applyFont="1" applyBorder="1"/>
    <xf numFmtId="164" fontId="5" fillId="0" borderId="5" xfId="1" applyNumberFormat="1" applyFont="1" applyBorder="1"/>
    <xf numFmtId="164" fontId="4" fillId="0" borderId="5" xfId="1" applyNumberFormat="1" applyFont="1" applyBorder="1"/>
    <xf numFmtId="49" fontId="5" fillId="2" borderId="0" xfId="0" applyNumberFormat="1" applyFont="1" applyFill="1"/>
    <xf numFmtId="2" fontId="4" fillId="0" borderId="5" xfId="0" applyNumberFormat="1" applyFont="1" applyBorder="1"/>
    <xf numFmtId="164" fontId="5" fillId="0" borderId="5" xfId="1" applyNumberFormat="1" applyFont="1" applyBorder="1" applyAlignment="1">
      <alignment horizontal="right"/>
    </xf>
    <xf numFmtId="49" fontId="5" fillId="2" borderId="1" xfId="0" applyNumberFormat="1" applyFont="1" applyFill="1" applyBorder="1"/>
    <xf numFmtId="0" fontId="0" fillId="0" borderId="5" xfId="0" applyBorder="1"/>
    <xf numFmtId="0" fontId="0" fillId="0" borderId="6" xfId="0" applyBorder="1"/>
    <xf numFmtId="0" fontId="9" fillId="0" borderId="5" xfId="0" applyFont="1" applyBorder="1"/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/>
    <xf numFmtId="0" fontId="0" fillId="2" borderId="8" xfId="0" applyFill="1" applyBorder="1"/>
    <xf numFmtId="0" fontId="0" fillId="2" borderId="0" xfId="0" applyFill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0" xfId="0" applyFill="1" applyBorder="1"/>
    <xf numFmtId="0" fontId="3" fillId="0" borderId="11" xfId="0" applyFont="1" applyBorder="1" applyAlignment="1">
      <alignment horizontal="center"/>
    </xf>
    <xf numFmtId="0" fontId="3" fillId="2" borderId="10" xfId="0" applyFont="1" applyFill="1" applyBorder="1"/>
    <xf numFmtId="0" fontId="3" fillId="0" borderId="12" xfId="0" applyFont="1" applyBorder="1" applyAlignment="1">
      <alignment horizontal="center"/>
    </xf>
    <xf numFmtId="0" fontId="0" fillId="2" borderId="13" xfId="0" applyFill="1" applyBorder="1"/>
    <xf numFmtId="0" fontId="3" fillId="0" borderId="14" xfId="0" applyFont="1" applyBorder="1"/>
    <xf numFmtId="0" fontId="3" fillId="0" borderId="15" xfId="0" applyFont="1" applyBorder="1"/>
    <xf numFmtId="0" fontId="0" fillId="0" borderId="16" xfId="0" applyBorder="1"/>
    <xf numFmtId="0" fontId="9" fillId="0" borderId="16" xfId="0" applyFont="1" applyBorder="1"/>
    <xf numFmtId="10" fontId="5" fillId="0" borderId="5" xfId="1" applyNumberFormat="1" applyFont="1" applyBorder="1"/>
    <xf numFmtId="49" fontId="5" fillId="2" borderId="7" xfId="0" applyNumberFormat="1" applyFont="1" applyFill="1" applyBorder="1"/>
    <xf numFmtId="49" fontId="5" fillId="2" borderId="4" xfId="0" applyNumberFormat="1" applyFont="1" applyFill="1" applyBorder="1"/>
    <xf numFmtId="49" fontId="4" fillId="2" borderId="7" xfId="0" applyNumberFormat="1" applyFont="1" applyFill="1" applyBorder="1"/>
    <xf numFmtId="49" fontId="5" fillId="2" borderId="6" xfId="0" applyNumberFormat="1" applyFont="1" applyFill="1" applyBorder="1"/>
    <xf numFmtId="164" fontId="5" fillId="2" borderId="1" xfId="1" applyNumberFormat="1" applyFont="1" applyFill="1" applyBorder="1"/>
    <xf numFmtId="49" fontId="5" fillId="0" borderId="17" xfId="0" applyNumberFormat="1" applyFont="1" applyBorder="1"/>
    <xf numFmtId="49" fontId="4" fillId="2" borderId="0" xfId="0" applyNumberFormat="1" applyFont="1" applyFill="1" applyBorder="1" applyAlignment="1">
      <alignment horizontal="center"/>
    </xf>
    <xf numFmtId="49" fontId="5" fillId="2" borderId="18" xfId="0" applyNumberFormat="1" applyFont="1" applyFill="1" applyBorder="1"/>
    <xf numFmtId="49" fontId="5" fillId="2" borderId="19" xfId="0" applyNumberFormat="1" applyFont="1" applyFill="1" applyBorder="1"/>
    <xf numFmtId="49" fontId="4" fillId="0" borderId="5" xfId="0" applyNumberFormat="1" applyFont="1" applyBorder="1" applyAlignment="1"/>
    <xf numFmtId="49" fontId="5" fillId="0" borderId="5" xfId="0" applyNumberFormat="1" applyFont="1" applyBorder="1" applyAlignment="1"/>
    <xf numFmtId="49" fontId="5" fillId="0" borderId="17" xfId="0" applyNumberFormat="1" applyFont="1" applyBorder="1" applyAlignment="1"/>
    <xf numFmtId="49" fontId="4" fillId="2" borderId="3" xfId="0" applyNumberFormat="1" applyFont="1" applyFill="1" applyBorder="1"/>
    <xf numFmtId="49" fontId="4" fillId="2" borderId="0" xfId="0" applyNumberFormat="1" applyFont="1" applyFill="1" applyBorder="1"/>
    <xf numFmtId="49" fontId="5" fillId="2" borderId="0" xfId="0" applyNumberFormat="1" applyFont="1" applyFill="1" applyBorder="1"/>
    <xf numFmtId="49" fontId="5" fillId="0" borderId="20" xfId="0" applyNumberFormat="1" applyFont="1" applyBorder="1" applyAlignment="1"/>
    <xf numFmtId="49" fontId="5" fillId="2" borderId="3" xfId="0" applyNumberFormat="1" applyFont="1" applyFill="1" applyBorder="1"/>
    <xf numFmtId="49" fontId="4" fillId="2" borderId="0" xfId="0" applyNumberFormat="1" applyFont="1" applyFill="1" applyBorder="1" applyAlignment="1"/>
    <xf numFmtId="49" fontId="0" fillId="0" borderId="0" xfId="0" applyNumberFormat="1" applyBorder="1"/>
    <xf numFmtId="49" fontId="0" fillId="2" borderId="0" xfId="0" applyNumberFormat="1" applyFill="1"/>
    <xf numFmtId="49" fontId="4" fillId="2" borderId="4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/>
    <xf numFmtId="49" fontId="4" fillId="2" borderId="6" xfId="0" applyNumberFormat="1" applyFont="1" applyFill="1" applyBorder="1"/>
    <xf numFmtId="49" fontId="5" fillId="2" borderId="22" xfId="0" applyNumberFormat="1" applyFont="1" applyFill="1" applyBorder="1"/>
    <xf numFmtId="2" fontId="5" fillId="0" borderId="5" xfId="0" applyNumberFormat="1" applyFont="1" applyBorder="1"/>
    <xf numFmtId="164" fontId="8" fillId="0" borderId="5" xfId="1" applyNumberFormat="1" applyFont="1" applyBorder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6" xfId="0" applyFont="1" applyFill="1" applyBorder="1"/>
    <xf numFmtId="0" fontId="0" fillId="0" borderId="17" xfId="0" applyBorder="1"/>
    <xf numFmtId="164" fontId="8" fillId="0" borderId="17" xfId="1" applyNumberFormat="1" applyFont="1" applyBorder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4" xfId="0" applyFont="1" applyFill="1" applyBorder="1"/>
    <xf numFmtId="49" fontId="5" fillId="2" borderId="2" xfId="0" applyNumberFormat="1" applyFont="1" applyFill="1" applyBorder="1"/>
    <xf numFmtId="49" fontId="5" fillId="2" borderId="17" xfId="0" applyNumberFormat="1" applyFont="1" applyFill="1" applyBorder="1"/>
    <xf numFmtId="0" fontId="3" fillId="0" borderId="23" xfId="0" applyFont="1" applyBorder="1"/>
    <xf numFmtId="0" fontId="9" fillId="0" borderId="24" xfId="0" applyFont="1" applyBorder="1"/>
    <xf numFmtId="164" fontId="5" fillId="2" borderId="25" xfId="1" applyNumberFormat="1" applyFont="1" applyFill="1" applyBorder="1"/>
    <xf numFmtId="49" fontId="4" fillId="3" borderId="20" xfId="0" applyNumberFormat="1" applyFont="1" applyFill="1" applyBorder="1" applyAlignment="1">
      <alignment horizontal="center" vertical="center"/>
    </xf>
    <xf numFmtId="49" fontId="5" fillId="0" borderId="18" xfId="0" applyNumberFormat="1" applyFont="1" applyBorder="1"/>
    <xf numFmtId="164" fontId="5" fillId="0" borderId="0" xfId="1" applyNumberFormat="1" applyFont="1" applyBorder="1"/>
    <xf numFmtId="164" fontId="5" fillId="0" borderId="26" xfId="1" applyNumberFormat="1" applyFont="1" applyBorder="1"/>
    <xf numFmtId="49" fontId="5" fillId="2" borderId="26" xfId="0" applyNumberFormat="1" applyFont="1" applyFill="1" applyBorder="1"/>
    <xf numFmtId="49" fontId="5" fillId="2" borderId="27" xfId="0" applyNumberFormat="1" applyFont="1" applyFill="1" applyBorder="1"/>
    <xf numFmtId="49" fontId="5" fillId="2" borderId="28" xfId="0" applyNumberFormat="1" applyFont="1" applyFill="1" applyBorder="1"/>
    <xf numFmtId="164" fontId="5" fillId="0" borderId="20" xfId="1" applyNumberFormat="1" applyFont="1" applyBorder="1" applyAlignment="1"/>
    <xf numFmtId="2" fontId="5" fillId="0" borderId="20" xfId="0" applyNumberFormat="1" applyFont="1" applyBorder="1" applyAlignment="1"/>
    <xf numFmtId="164" fontId="4" fillId="0" borderId="20" xfId="1" applyNumberFormat="1" applyFont="1" applyBorder="1" applyAlignment="1"/>
    <xf numFmtId="49" fontId="4" fillId="2" borderId="18" xfId="0" applyNumberFormat="1" applyFont="1" applyFill="1" applyBorder="1" applyAlignment="1">
      <alignment horizontal="center"/>
    </xf>
    <xf numFmtId="49" fontId="4" fillId="2" borderId="26" xfId="0" applyNumberFormat="1" applyFont="1" applyFill="1" applyBorder="1" applyAlignment="1">
      <alignment horizontal="center"/>
    </xf>
    <xf numFmtId="49" fontId="5" fillId="0" borderId="5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0" fontId="9" fillId="0" borderId="29" xfId="0" applyFont="1" applyBorder="1"/>
    <xf numFmtId="0" fontId="9" fillId="0" borderId="30" xfId="0" applyFont="1" applyBorder="1"/>
    <xf numFmtId="0" fontId="0" fillId="0" borderId="4" xfId="0" applyBorder="1"/>
    <xf numFmtId="0" fontId="3" fillId="0" borderId="31" xfId="0" applyFont="1" applyBorder="1"/>
    <xf numFmtId="164" fontId="4" fillId="0" borderId="4" xfId="1" applyNumberFormat="1" applyFont="1" applyBorder="1" applyAlignment="1">
      <alignment horizontal="center" wrapText="1"/>
    </xf>
    <xf numFmtId="164" fontId="4" fillId="2" borderId="7" xfId="1" applyNumberFormat="1" applyFont="1" applyFill="1" applyBorder="1" applyAlignment="1">
      <alignment horizontal="center"/>
    </xf>
    <xf numFmtId="164" fontId="4" fillId="0" borderId="6" xfId="1" applyNumberFormat="1" applyFont="1" applyBorder="1" applyAlignment="1">
      <alignment horizontal="center"/>
    </xf>
    <xf numFmtId="164" fontId="4" fillId="2" borderId="6" xfId="1" applyNumberFormat="1" applyFont="1" applyFill="1" applyBorder="1" applyAlignment="1">
      <alignment horizontal="center"/>
    </xf>
    <xf numFmtId="2" fontId="4" fillId="2" borderId="7" xfId="1" applyNumberFormat="1" applyFont="1" applyFill="1" applyBorder="1" applyAlignment="1">
      <alignment horizontal="center"/>
    </xf>
    <xf numFmtId="2" fontId="4" fillId="2" borderId="6" xfId="1" applyNumberFormat="1" applyFont="1" applyFill="1" applyBorder="1" applyAlignment="1">
      <alignment horizontal="center"/>
    </xf>
    <xf numFmtId="0" fontId="3" fillId="0" borderId="32" xfId="0" applyFont="1" applyBorder="1"/>
    <xf numFmtId="0" fontId="9" fillId="0" borderId="33" xfId="0" applyFont="1" applyBorder="1"/>
    <xf numFmtId="2" fontId="5" fillId="0" borderId="5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164" fontId="5" fillId="0" borderId="5" xfId="1" applyNumberFormat="1" applyFont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3" fillId="2" borderId="36" xfId="0" applyFont="1" applyFill="1" applyBorder="1"/>
    <xf numFmtId="0" fontId="0" fillId="0" borderId="29" xfId="0" applyBorder="1"/>
    <xf numFmtId="4" fontId="0" fillId="0" borderId="5" xfId="0" applyNumberFormat="1" applyBorder="1"/>
    <xf numFmtId="4" fontId="0" fillId="0" borderId="16" xfId="0" applyNumberFormat="1" applyBorder="1"/>
    <xf numFmtId="4" fontId="0" fillId="0" borderId="6" xfId="0" applyNumberFormat="1" applyBorder="1"/>
    <xf numFmtId="4" fontId="0" fillId="0" borderId="14" xfId="0" applyNumberFormat="1" applyBorder="1"/>
    <xf numFmtId="4" fontId="9" fillId="0" borderId="5" xfId="0" applyNumberFormat="1" applyFont="1" applyBorder="1"/>
    <xf numFmtId="4" fontId="9" fillId="0" borderId="16" xfId="0" applyNumberFormat="1" applyFont="1" applyBorder="1"/>
    <xf numFmtId="4" fontId="9" fillId="0" borderId="29" xfId="0" applyNumberFormat="1" applyFont="1" applyBorder="1"/>
    <xf numFmtId="4" fontId="9" fillId="0" borderId="30" xfId="0" applyNumberFormat="1" applyFont="1" applyBorder="1"/>
    <xf numFmtId="4" fontId="9" fillId="0" borderId="37" xfId="0" applyNumberFormat="1" applyFont="1" applyBorder="1"/>
    <xf numFmtId="3" fontId="0" fillId="0" borderId="6" xfId="0" applyNumberFormat="1" applyBorder="1"/>
    <xf numFmtId="3" fontId="0" fillId="0" borderId="5" xfId="0" applyNumberFormat="1" applyBorder="1"/>
    <xf numFmtId="3" fontId="0" fillId="0" borderId="16" xfId="0" applyNumberFormat="1" applyBorder="1"/>
    <xf numFmtId="3" fontId="0" fillId="0" borderId="29" xfId="0" applyNumberFormat="1" applyBorder="1"/>
    <xf numFmtId="3" fontId="0" fillId="0" borderId="30" xfId="0" applyNumberFormat="1" applyBorder="1"/>
    <xf numFmtId="3" fontId="0" fillId="0" borderId="0" xfId="0" applyNumberFormat="1" applyBorder="1"/>
    <xf numFmtId="3" fontId="0" fillId="0" borderId="0" xfId="0" applyNumberFormat="1"/>
    <xf numFmtId="49" fontId="5" fillId="0" borderId="0" xfId="0" applyNumberFormat="1" applyFont="1" applyFill="1"/>
    <xf numFmtId="3" fontId="9" fillId="0" borderId="0" xfId="0" applyNumberFormat="1" applyFont="1" applyBorder="1"/>
    <xf numFmtId="2" fontId="3" fillId="0" borderId="0" xfId="0" applyNumberFormat="1" applyFont="1"/>
    <xf numFmtId="49" fontId="5" fillId="0" borderId="5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164" fontId="3" fillId="0" borderId="5" xfId="1" applyNumberFormat="1" applyFont="1" applyBorder="1"/>
    <xf numFmtId="164" fontId="5" fillId="0" borderId="5" xfId="1" applyNumberFormat="1" applyFont="1" applyFill="1" applyBorder="1"/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164" fontId="5" fillId="0" borderId="5" xfId="2" applyNumberFormat="1" applyFont="1" applyBorder="1"/>
    <xf numFmtId="164" fontId="4" fillId="0" borderId="6" xfId="1" applyNumberFormat="1" applyFont="1" applyFill="1" applyBorder="1" applyAlignment="1">
      <alignment horizontal="center"/>
    </xf>
    <xf numFmtId="2" fontId="4" fillId="0" borderId="7" xfId="1" applyNumberFormat="1" applyFont="1" applyFill="1" applyBorder="1" applyAlignment="1">
      <alignment horizontal="center"/>
    </xf>
    <xf numFmtId="2" fontId="4" fillId="0" borderId="6" xfId="1" applyNumberFormat="1" applyFont="1" applyFill="1" applyBorder="1" applyAlignment="1">
      <alignment horizontal="center"/>
    </xf>
    <xf numFmtId="164" fontId="0" fillId="0" borderId="0" xfId="1" applyNumberFormat="1" applyFont="1"/>
    <xf numFmtId="10" fontId="5" fillId="0" borderId="5" xfId="3" applyNumberFormat="1" applyFont="1" applyBorder="1" applyAlignment="1">
      <alignment horizontal="right"/>
    </xf>
    <xf numFmtId="2" fontId="3" fillId="0" borderId="0" xfId="1" applyNumberFormat="1" applyFont="1"/>
    <xf numFmtId="49" fontId="5" fillId="2" borderId="5" xfId="0" applyNumberFormat="1" applyFont="1" applyFill="1" applyBorder="1"/>
    <xf numFmtId="49" fontId="4" fillId="7" borderId="20" xfId="0" applyNumberFormat="1" applyFont="1" applyFill="1" applyBorder="1" applyAlignment="1"/>
    <xf numFmtId="49" fontId="4" fillId="6" borderId="2" xfId="0" applyNumberFormat="1" applyFont="1" applyFill="1" applyBorder="1" applyAlignment="1"/>
    <xf numFmtId="49" fontId="4" fillId="6" borderId="17" xfId="0" applyNumberFormat="1" applyFont="1" applyFill="1" applyBorder="1" applyAlignment="1"/>
    <xf numFmtId="49" fontId="4" fillId="6" borderId="4" xfId="0" applyNumberFormat="1" applyFont="1" applyFill="1" applyBorder="1"/>
    <xf numFmtId="49" fontId="4" fillId="6" borderId="4" xfId="0" applyNumberFormat="1" applyFont="1" applyFill="1" applyBorder="1" applyAlignment="1">
      <alignment horizontal="center" vertical="center"/>
    </xf>
    <xf numFmtId="49" fontId="5" fillId="6" borderId="7" xfId="0" applyNumberFormat="1" applyFont="1" applyFill="1" applyBorder="1"/>
    <xf numFmtId="49" fontId="4" fillId="6" borderId="7" xfId="0" applyNumberFormat="1" applyFont="1" applyFill="1" applyBorder="1" applyAlignment="1">
      <alignment horizontal="center" vertical="center"/>
    </xf>
    <xf numFmtId="49" fontId="4" fillId="6" borderId="6" xfId="0" applyNumberFormat="1" applyFont="1" applyFill="1" applyBorder="1"/>
    <xf numFmtId="49" fontId="4" fillId="6" borderId="6" xfId="0" applyNumberFormat="1" applyFont="1" applyFill="1" applyBorder="1" applyAlignment="1">
      <alignment horizontal="center" vertical="center"/>
    </xf>
    <xf numFmtId="164" fontId="4" fillId="0" borderId="5" xfId="2" applyNumberFormat="1" applyFont="1" applyBorder="1"/>
    <xf numFmtId="164" fontId="5" fillId="0" borderId="0" xfId="2" applyNumberFormat="1" applyFont="1" applyBorder="1"/>
    <xf numFmtId="164" fontId="5" fillId="0" borderId="26" xfId="2" applyNumberFormat="1" applyFont="1" applyBorder="1"/>
    <xf numFmtId="49" fontId="5" fillId="6" borderId="18" xfId="0" applyNumberFormat="1" applyFont="1" applyFill="1" applyBorder="1"/>
    <xf numFmtId="49" fontId="5" fillId="6" borderId="0" xfId="0" applyNumberFormat="1" applyFont="1" applyFill="1" applyBorder="1"/>
    <xf numFmtId="49" fontId="5" fillId="6" borderId="26" xfId="0" applyNumberFormat="1" applyFont="1" applyFill="1" applyBorder="1"/>
    <xf numFmtId="49" fontId="5" fillId="6" borderId="27" xfId="0" applyNumberFormat="1" applyFont="1" applyFill="1" applyBorder="1"/>
    <xf numFmtId="49" fontId="5" fillId="6" borderId="22" xfId="0" applyNumberFormat="1" applyFont="1" applyFill="1" applyBorder="1"/>
    <xf numFmtId="49" fontId="5" fillId="6" borderId="28" xfId="0" applyNumberFormat="1" applyFont="1" applyFill="1" applyBorder="1"/>
    <xf numFmtId="164" fontId="5" fillId="0" borderId="20" xfId="2" applyNumberFormat="1" applyFont="1" applyBorder="1" applyAlignment="1"/>
    <xf numFmtId="164" fontId="4" fillId="0" borderId="20" xfId="2" applyNumberFormat="1" applyFont="1" applyBorder="1" applyAlignment="1"/>
    <xf numFmtId="49" fontId="5" fillId="6" borderId="19" xfId="0" applyNumberFormat="1" applyFont="1" applyFill="1" applyBorder="1"/>
    <xf numFmtId="49" fontId="5" fillId="6" borderId="1" xfId="0" applyNumberFormat="1" applyFont="1" applyFill="1" applyBorder="1"/>
    <xf numFmtId="49" fontId="5" fillId="6" borderId="25" xfId="0" applyNumberFormat="1" applyFont="1" applyFill="1" applyBorder="1"/>
    <xf numFmtId="164" fontId="5" fillId="0" borderId="5" xfId="2" applyNumberFormat="1" applyFont="1" applyFill="1" applyBorder="1"/>
    <xf numFmtId="43" fontId="10" fillId="0" borderId="0" xfId="1" applyFont="1"/>
    <xf numFmtId="1" fontId="0" fillId="0" borderId="0" xfId="0" applyNumberFormat="1"/>
    <xf numFmtId="43" fontId="0" fillId="0" borderId="0" xfId="1" applyFont="1"/>
    <xf numFmtId="164" fontId="9" fillId="0" borderId="0" xfId="1" applyNumberFormat="1" applyFont="1" applyBorder="1"/>
    <xf numFmtId="43" fontId="0" fillId="0" borderId="0" xfId="0" applyNumberFormat="1"/>
    <xf numFmtId="43" fontId="0" fillId="0" borderId="0" xfId="0" applyNumberFormat="1" applyBorder="1"/>
    <xf numFmtId="164" fontId="3" fillId="2" borderId="4" xfId="1" applyNumberFormat="1" applyFont="1" applyFill="1" applyBorder="1" applyAlignment="1">
      <alignment horizontal="center"/>
    </xf>
    <xf numFmtId="164" fontId="3" fillId="2" borderId="7" xfId="1" applyNumberFormat="1" applyFont="1" applyFill="1" applyBorder="1" applyAlignment="1">
      <alignment horizontal="center"/>
    </xf>
    <xf numFmtId="164" fontId="3" fillId="2" borderId="6" xfId="1" applyNumberFormat="1" applyFont="1" applyFill="1" applyBorder="1"/>
    <xf numFmtId="164" fontId="0" fillId="0" borderId="5" xfId="1" applyNumberFormat="1" applyFont="1" applyBorder="1"/>
    <xf numFmtId="164" fontId="0" fillId="0" borderId="0" xfId="1" applyNumberFormat="1" applyFont="1" applyBorder="1"/>
    <xf numFmtId="0" fontId="3" fillId="0" borderId="0" xfId="0" applyFont="1" applyAlignment="1"/>
    <xf numFmtId="164" fontId="3" fillId="0" borderId="20" xfId="1" applyNumberFormat="1" applyFont="1" applyBorder="1"/>
    <xf numFmtId="164" fontId="3" fillId="0" borderId="29" xfId="1" applyNumberFormat="1" applyFont="1" applyBorder="1"/>
    <xf numFmtId="0" fontId="7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49" fontId="4" fillId="0" borderId="6" xfId="0" applyNumberFormat="1" applyFont="1" applyBorder="1"/>
    <xf numFmtId="49" fontId="4" fillId="0" borderId="4" xfId="0" applyNumberFormat="1" applyFont="1" applyBorder="1"/>
    <xf numFmtId="49" fontId="4" fillId="0" borderId="6" xfId="0" applyNumberFormat="1" applyFont="1" applyFill="1" applyBorder="1" applyAlignment="1">
      <alignment horizontal="center" wrapText="1"/>
    </xf>
    <xf numFmtId="49" fontId="4" fillId="0" borderId="6" xfId="0" applyNumberFormat="1" applyFont="1" applyBorder="1" applyAlignment="1">
      <alignment horizontal="center" wrapText="1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10" fontId="5" fillId="0" borderId="5" xfId="3" applyNumberFormat="1" applyFont="1" applyFill="1" applyBorder="1" applyAlignment="1">
      <alignment horizontal="right"/>
    </xf>
    <xf numFmtId="49" fontId="6" fillId="0" borderId="0" xfId="0" applyNumberFormat="1" applyFont="1"/>
    <xf numFmtId="49" fontId="5" fillId="0" borderId="0" xfId="0" applyNumberFormat="1" applyFont="1" applyAlignment="1">
      <alignment vertical="center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4" fillId="2" borderId="7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2" fontId="3" fillId="2" borderId="6" xfId="0" applyNumberFormat="1" applyFont="1" applyFill="1" applyBorder="1"/>
    <xf numFmtId="3" fontId="7" fillId="0" borderId="5" xfId="0" applyNumberFormat="1" applyFont="1" applyFill="1" applyBorder="1" applyAlignment="1">
      <alignment horizontal="right"/>
    </xf>
    <xf numFmtId="164" fontId="4" fillId="0" borderId="5" xfId="1" applyNumberFormat="1" applyFont="1" applyBorder="1" applyAlignment="1">
      <alignment horizontal="center"/>
    </xf>
    <xf numFmtId="164" fontId="5" fillId="0" borderId="5" xfId="1" applyNumberFormat="1" applyFont="1" applyFill="1" applyBorder="1" applyAlignment="1"/>
    <xf numFmtId="3" fontId="15" fillId="0" borderId="5" xfId="0" applyNumberFormat="1" applyFont="1" applyBorder="1"/>
    <xf numFmtId="3" fontId="15" fillId="0" borderId="29" xfId="0" applyNumberFormat="1" applyFont="1" applyBorder="1"/>
    <xf numFmtId="3" fontId="15" fillId="0" borderId="6" xfId="0" applyNumberFormat="1" applyFont="1" applyBorder="1"/>
    <xf numFmtId="164" fontId="4" fillId="0" borderId="5" xfId="1" applyNumberFormat="1" applyFont="1" applyBorder="1" applyAlignment="1">
      <alignment horizontal="center"/>
    </xf>
    <xf numFmtId="49" fontId="4" fillId="2" borderId="38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21" xfId="0" applyNumberFormat="1" applyFont="1" applyFill="1" applyBorder="1" applyAlignment="1">
      <alignment horizontal="center"/>
    </xf>
    <xf numFmtId="49" fontId="4" fillId="2" borderId="18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49" fontId="4" fillId="2" borderId="26" xfId="0" applyNumberFormat="1" applyFont="1" applyFill="1" applyBorder="1" applyAlignment="1">
      <alignment horizontal="center"/>
    </xf>
    <xf numFmtId="49" fontId="4" fillId="2" borderId="19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25" xfId="0" applyNumberFormat="1" applyFont="1" applyFill="1" applyBorder="1" applyAlignment="1">
      <alignment horizontal="center"/>
    </xf>
    <xf numFmtId="0" fontId="4" fillId="2" borderId="18" xfId="0" applyNumberFormat="1" applyFont="1" applyFill="1" applyBorder="1" applyAlignment="1">
      <alignment horizontal="center"/>
    </xf>
    <xf numFmtId="0" fontId="4" fillId="2" borderId="0" xfId="0" applyNumberFormat="1" applyFont="1" applyFill="1" applyBorder="1" applyAlignment="1">
      <alignment horizontal="center"/>
    </xf>
    <xf numFmtId="0" fontId="4" fillId="2" borderId="26" xfId="0" applyNumberFormat="1" applyFont="1" applyFill="1" applyBorder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164" fontId="4" fillId="0" borderId="17" xfId="1" applyNumberFormat="1" applyFont="1" applyBorder="1" applyAlignment="1">
      <alignment horizontal="center"/>
    </xf>
    <xf numFmtId="164" fontId="4" fillId="0" borderId="20" xfId="1" applyNumberFormat="1" applyFont="1" applyBorder="1" applyAlignment="1">
      <alignment horizontal="center"/>
    </xf>
    <xf numFmtId="2" fontId="4" fillId="0" borderId="4" xfId="1" applyNumberFormat="1" applyFont="1" applyFill="1" applyBorder="1" applyAlignment="1">
      <alignment horizontal="center" wrapText="1"/>
    </xf>
    <xf numFmtId="2" fontId="4" fillId="0" borderId="7" xfId="1" applyNumberFormat="1" applyFont="1" applyFill="1" applyBorder="1" applyAlignment="1">
      <alignment horizontal="center" wrapText="1"/>
    </xf>
    <xf numFmtId="2" fontId="4" fillId="0" borderId="4" xfId="1" applyNumberFormat="1" applyFont="1" applyBorder="1" applyAlignment="1">
      <alignment horizontal="center" wrapText="1"/>
    </xf>
    <xf numFmtId="2" fontId="4" fillId="0" borderId="7" xfId="1" applyNumberFormat="1" applyFont="1" applyBorder="1" applyAlignment="1">
      <alignment horizontal="center" wrapText="1"/>
    </xf>
    <xf numFmtId="2" fontId="4" fillId="0" borderId="20" xfId="1" applyNumberFormat="1" applyFont="1" applyBorder="1" applyAlignment="1">
      <alignment horizontal="center"/>
    </xf>
    <xf numFmtId="2" fontId="4" fillId="0" borderId="17" xfId="1" applyNumberFormat="1" applyFont="1" applyBorder="1" applyAlignment="1">
      <alignment horizont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49" fontId="4" fillId="6" borderId="18" xfId="0" applyNumberFormat="1" applyFont="1" applyFill="1" applyBorder="1" applyAlignment="1">
      <alignment horizontal="center"/>
    </xf>
    <xf numFmtId="49" fontId="4" fillId="6" borderId="0" xfId="0" applyNumberFormat="1" applyFont="1" applyFill="1" applyBorder="1" applyAlignment="1">
      <alignment horizontal="center"/>
    </xf>
    <xf numFmtId="49" fontId="4" fillId="6" borderId="26" xfId="0" applyNumberFormat="1" applyFont="1" applyFill="1" applyBorder="1" applyAlignment="1">
      <alignment horizontal="center"/>
    </xf>
    <xf numFmtId="49" fontId="4" fillId="0" borderId="20" xfId="0" applyNumberFormat="1" applyFont="1" applyFill="1" applyBorder="1" applyAlignment="1">
      <alignment horizontal="left"/>
    </xf>
    <xf numFmtId="49" fontId="4" fillId="0" borderId="2" xfId="0" applyNumberFormat="1" applyFont="1" applyFill="1" applyBorder="1" applyAlignment="1">
      <alignment horizontal="left"/>
    </xf>
    <xf numFmtId="49" fontId="4" fillId="0" borderId="17" xfId="0" applyNumberFormat="1" applyFont="1" applyFill="1" applyBorder="1" applyAlignment="1">
      <alignment horizontal="left"/>
    </xf>
    <xf numFmtId="49" fontId="4" fillId="0" borderId="19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49" fontId="4" fillId="0" borderId="25" xfId="0" applyNumberFormat="1" applyFont="1" applyFill="1" applyBorder="1" applyAlignment="1">
      <alignment horizontal="left"/>
    </xf>
    <xf numFmtId="49" fontId="4" fillId="2" borderId="18" xfId="0" applyNumberFormat="1" applyFont="1" applyFill="1" applyBorder="1" applyAlignment="1">
      <alignment horizontal="right"/>
    </xf>
    <xf numFmtId="49" fontId="4" fillId="2" borderId="0" xfId="0" applyNumberFormat="1" applyFont="1" applyFill="1" applyBorder="1" applyAlignment="1">
      <alignment horizontal="right"/>
    </xf>
    <xf numFmtId="0" fontId="4" fillId="2" borderId="0" xfId="0" applyNumberFormat="1" applyFont="1" applyFill="1" applyBorder="1" applyAlignment="1">
      <alignment horizontal="left"/>
    </xf>
    <xf numFmtId="0" fontId="4" fillId="2" borderId="26" xfId="0" applyNumberFormat="1" applyFont="1" applyFill="1" applyBorder="1" applyAlignment="1">
      <alignment horizontal="left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49" fontId="4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left" vertical="top"/>
    </xf>
    <xf numFmtId="49" fontId="5" fillId="0" borderId="6" xfId="0" applyNumberFormat="1" applyFont="1" applyBorder="1" applyAlignment="1">
      <alignment horizontal="left" vertical="top"/>
    </xf>
    <xf numFmtId="0" fontId="0" fillId="0" borderId="15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/>
    <xf numFmtId="0" fontId="3" fillId="0" borderId="0" xfId="0" applyFont="1" applyAlignment="1">
      <alignment horizontal="left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0" xfId="0" applyFont="1" applyFill="1" applyAlignment="1"/>
    <xf numFmtId="0" fontId="0" fillId="0" borderId="1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5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17" xfId="0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16" fillId="0" borderId="4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6" xfId="0" applyFont="1" applyBorder="1"/>
    <xf numFmtId="4" fontId="0" fillId="0" borderId="5" xfId="0" applyNumberFormat="1" applyFont="1" applyBorder="1"/>
    <xf numFmtId="3" fontId="0" fillId="0" borderId="25" xfId="0" applyNumberFormat="1" applyFont="1" applyFill="1" applyBorder="1"/>
    <xf numFmtId="3" fontId="0" fillId="0" borderId="17" xfId="0" applyNumberFormat="1" applyFont="1" applyFill="1" applyBorder="1"/>
    <xf numFmtId="43" fontId="0" fillId="0" borderId="17" xfId="1" applyFont="1" applyFill="1" applyBorder="1"/>
    <xf numFmtId="3" fontId="16" fillId="0" borderId="5" xfId="0" applyNumberFormat="1" applyFont="1" applyFill="1" applyBorder="1"/>
    <xf numFmtId="3" fontId="16" fillId="0" borderId="5" xfId="0" applyNumberFormat="1" applyFont="1" applyBorder="1"/>
    <xf numFmtId="3" fontId="0" fillId="0" borderId="5" xfId="0" applyNumberFormat="1" applyFont="1" applyFill="1" applyBorder="1"/>
    <xf numFmtId="3" fontId="0" fillId="0" borderId="5" xfId="0" applyNumberFormat="1" applyFont="1" applyBorder="1"/>
    <xf numFmtId="3" fontId="16" fillId="0" borderId="29" xfId="0" applyNumberFormat="1" applyFont="1" applyFill="1" applyBorder="1"/>
    <xf numFmtId="3" fontId="16" fillId="0" borderId="29" xfId="0" applyNumberFormat="1" applyFont="1" applyBorder="1"/>
    <xf numFmtId="3" fontId="16" fillId="0" borderId="37" xfId="0" applyNumberFormat="1" applyFont="1" applyFill="1" applyBorder="1"/>
    <xf numFmtId="3" fontId="16" fillId="0" borderId="37" xfId="0" applyNumberFormat="1" applyFont="1" applyBorder="1"/>
    <xf numFmtId="164" fontId="17" fillId="0" borderId="5" xfId="1" applyNumberFormat="1" applyFont="1" applyBorder="1"/>
    <xf numFmtId="164" fontId="18" fillId="0" borderId="5" xfId="1" applyNumberFormat="1" applyFont="1" applyBorder="1"/>
    <xf numFmtId="49" fontId="18" fillId="5" borderId="20" xfId="0" applyNumberFormat="1" applyFont="1" applyFill="1" applyBorder="1" applyAlignment="1">
      <alignment horizontal="center"/>
    </xf>
    <xf numFmtId="49" fontId="18" fillId="5" borderId="2" xfId="0" applyNumberFormat="1" applyFont="1" applyFill="1" applyBorder="1" applyAlignment="1">
      <alignment horizontal="center"/>
    </xf>
    <xf numFmtId="49" fontId="18" fillId="5" borderId="17" xfId="0" applyNumberFormat="1" applyFont="1" applyFill="1" applyBorder="1" applyAlignment="1">
      <alignment horizontal="center"/>
    </xf>
    <xf numFmtId="0" fontId="0" fillId="2" borderId="4" xfId="0" applyFont="1" applyFill="1" applyBorder="1" applyAlignment="1"/>
    <xf numFmtId="49" fontId="18" fillId="2" borderId="4" xfId="0" applyNumberFormat="1" applyFont="1" applyFill="1" applyBorder="1" applyAlignment="1">
      <alignment horizontal="center"/>
    </xf>
    <xf numFmtId="49" fontId="18" fillId="2" borderId="4" xfId="0" applyNumberFormat="1" applyFont="1" applyFill="1" applyBorder="1" applyAlignment="1">
      <alignment horizontal="right"/>
    </xf>
    <xf numFmtId="49" fontId="18" fillId="2" borderId="7" xfId="0" applyNumberFormat="1" applyFont="1" applyFill="1" applyBorder="1" applyAlignment="1">
      <alignment horizontal="center"/>
    </xf>
    <xf numFmtId="49" fontId="18" fillId="2" borderId="7" xfId="0" applyNumberFormat="1" applyFont="1" applyFill="1" applyBorder="1" applyAlignment="1">
      <alignment horizontal="center" wrapText="1"/>
    </xf>
    <xf numFmtId="49" fontId="18" fillId="2" borderId="6" xfId="0" applyNumberFormat="1" applyFont="1" applyFill="1" applyBorder="1" applyAlignment="1">
      <alignment horizontal="center"/>
    </xf>
    <xf numFmtId="164" fontId="18" fillId="0" borderId="5" xfId="1" applyNumberFormat="1" applyFont="1" applyBorder="1" applyAlignment="1"/>
    <xf numFmtId="164" fontId="18" fillId="0" borderId="17" xfId="1" applyNumberFormat="1" applyFont="1" applyBorder="1" applyAlignment="1"/>
    <xf numFmtId="164" fontId="17" fillId="0" borderId="5" xfId="1" applyNumberFormat="1" applyFont="1" applyBorder="1" applyAlignment="1"/>
    <xf numFmtId="164" fontId="17" fillId="0" borderId="17" xfId="1" applyNumberFormat="1" applyFont="1" applyBorder="1" applyAlignment="1"/>
    <xf numFmtId="164" fontId="17" fillId="0" borderId="17" xfId="1" applyNumberFormat="1" applyFont="1" applyBorder="1"/>
    <xf numFmtId="164" fontId="18" fillId="2" borderId="0" xfId="1" applyNumberFormat="1" applyFont="1" applyFill="1" applyBorder="1"/>
    <xf numFmtId="164" fontId="19" fillId="2" borderId="0" xfId="1" applyNumberFormat="1" applyFont="1" applyFill="1"/>
    <xf numFmtId="49" fontId="17" fillId="2" borderId="3" xfId="0" applyNumberFormat="1" applyFont="1" applyFill="1" applyBorder="1"/>
    <xf numFmtId="49" fontId="17" fillId="2" borderId="0" xfId="0" applyNumberFormat="1" applyFont="1" applyFill="1"/>
    <xf numFmtId="49" fontId="18" fillId="4" borderId="20" xfId="0" applyNumberFormat="1" applyFont="1" applyFill="1" applyBorder="1" applyAlignment="1">
      <alignment horizontal="center"/>
    </xf>
    <xf numFmtId="49" fontId="18" fillId="4" borderId="2" xfId="0" applyNumberFormat="1" applyFont="1" applyFill="1" applyBorder="1" applyAlignment="1">
      <alignment horizontal="center"/>
    </xf>
    <xf numFmtId="49" fontId="18" fillId="4" borderId="17" xfId="0" applyNumberFormat="1" applyFont="1" applyFill="1" applyBorder="1" applyAlignment="1">
      <alignment horizontal="center"/>
    </xf>
  </cellXfs>
  <cellStyles count="4">
    <cellStyle name="Comma" xfId="1" builtinId="3"/>
    <cellStyle name="Comma 2" xfId="2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51"/>
  <sheetViews>
    <sheetView topLeftCell="A28" workbookViewId="0">
      <selection activeCell="H46" sqref="H46"/>
    </sheetView>
  </sheetViews>
  <sheetFormatPr defaultRowHeight="15" x14ac:dyDescent="0.25"/>
  <cols>
    <col min="1" max="1" width="5.5703125" style="1" customWidth="1"/>
    <col min="2" max="2" width="45.7109375" style="1" customWidth="1"/>
    <col min="3" max="4" width="0" style="1" hidden="1" customWidth="1"/>
    <col min="5" max="5" width="19" style="13" customWidth="1"/>
    <col min="6" max="6" width="18" style="13" customWidth="1"/>
    <col min="7" max="7" width="16.140625" style="13" bestFit="1" customWidth="1"/>
    <col min="8" max="8" width="18.140625" style="13" customWidth="1"/>
    <col min="9" max="16384" width="9.140625" style="1"/>
  </cols>
  <sheetData>
    <row r="1" spans="2:8" ht="15.75" x14ac:dyDescent="0.25">
      <c r="B1" s="232" t="s">
        <v>39</v>
      </c>
      <c r="C1" s="233"/>
      <c r="D1" s="233"/>
      <c r="E1" s="233"/>
      <c r="F1" s="233"/>
      <c r="G1" s="233"/>
      <c r="H1" s="234"/>
    </row>
    <row r="2" spans="2:8" ht="15.75" x14ac:dyDescent="0.25">
      <c r="B2" s="235" t="s">
        <v>0</v>
      </c>
      <c r="C2" s="236"/>
      <c r="D2" s="236"/>
      <c r="E2" s="236"/>
      <c r="F2" s="236"/>
      <c r="G2" s="236"/>
      <c r="H2" s="237"/>
    </row>
    <row r="3" spans="2:8" ht="15.75" x14ac:dyDescent="0.25">
      <c r="B3" s="241" t="s">
        <v>289</v>
      </c>
      <c r="C3" s="242"/>
      <c r="D3" s="242"/>
      <c r="E3" s="242"/>
      <c r="F3" s="242"/>
      <c r="G3" s="242"/>
      <c r="H3" s="243"/>
    </row>
    <row r="4" spans="2:8" ht="15.75" x14ac:dyDescent="0.25">
      <c r="B4" s="238"/>
      <c r="C4" s="239"/>
      <c r="D4" s="239"/>
      <c r="E4" s="239"/>
      <c r="F4" s="239"/>
      <c r="G4" s="239"/>
      <c r="H4" s="240"/>
    </row>
    <row r="5" spans="2:8" ht="15.75" x14ac:dyDescent="0.25">
      <c r="B5" s="63"/>
      <c r="C5" s="8"/>
      <c r="D5" s="8"/>
      <c r="E5" s="231" t="s">
        <v>34</v>
      </c>
      <c r="F5" s="231"/>
      <c r="G5" s="231" t="s">
        <v>45</v>
      </c>
      <c r="H5" s="231"/>
    </row>
    <row r="6" spans="2:8" ht="15.75" x14ac:dyDescent="0.25">
      <c r="B6" s="64" t="s">
        <v>283</v>
      </c>
      <c r="C6" s="3"/>
      <c r="D6" s="3"/>
      <c r="E6" s="121" t="s">
        <v>239</v>
      </c>
      <c r="F6" s="121" t="s">
        <v>273</v>
      </c>
      <c r="G6" s="121" t="s">
        <v>239</v>
      </c>
      <c r="H6" s="121" t="s">
        <v>273</v>
      </c>
    </row>
    <row r="7" spans="2:8" ht="15.75" x14ac:dyDescent="0.25">
      <c r="B7" s="64"/>
      <c r="C7" s="3"/>
      <c r="D7" s="3"/>
      <c r="E7" s="122" t="s">
        <v>36</v>
      </c>
      <c r="F7" s="122" t="s">
        <v>36</v>
      </c>
      <c r="G7" s="122" t="s">
        <v>36</v>
      </c>
      <c r="H7" s="122" t="s">
        <v>36</v>
      </c>
    </row>
    <row r="8" spans="2:8" ht="15.75" x14ac:dyDescent="0.25">
      <c r="B8" s="62"/>
      <c r="C8" s="3"/>
      <c r="D8" s="3"/>
      <c r="E8" s="122" t="s">
        <v>272</v>
      </c>
      <c r="F8" s="122" t="s">
        <v>249</v>
      </c>
      <c r="G8" s="122" t="s">
        <v>272</v>
      </c>
      <c r="H8" s="122" t="s">
        <v>249</v>
      </c>
    </row>
    <row r="9" spans="2:8" ht="15.75" x14ac:dyDescent="0.25">
      <c r="B9" s="62"/>
      <c r="C9" s="3"/>
      <c r="D9" s="3"/>
      <c r="E9" s="122" t="s">
        <v>37</v>
      </c>
      <c r="F9" s="122" t="s">
        <v>37</v>
      </c>
      <c r="G9" s="122" t="s">
        <v>37</v>
      </c>
      <c r="H9" s="122" t="s">
        <v>37</v>
      </c>
    </row>
    <row r="10" spans="2:8" ht="15.75" x14ac:dyDescent="0.25">
      <c r="B10" s="62"/>
      <c r="C10" s="3"/>
      <c r="D10" s="3"/>
      <c r="E10" s="221" t="s">
        <v>290</v>
      </c>
      <c r="F10" s="221" t="s">
        <v>291</v>
      </c>
      <c r="G10" s="221" t="s">
        <v>290</v>
      </c>
      <c r="H10" s="221" t="s">
        <v>291</v>
      </c>
    </row>
    <row r="11" spans="2:8" ht="15.75" x14ac:dyDescent="0.25">
      <c r="B11" s="62"/>
      <c r="C11" s="5"/>
      <c r="D11" s="5"/>
      <c r="E11" s="123" t="s">
        <v>180</v>
      </c>
      <c r="F11" s="123" t="s">
        <v>180</v>
      </c>
      <c r="G11" s="162" t="s">
        <v>181</v>
      </c>
      <c r="H11" s="162" t="s">
        <v>181</v>
      </c>
    </row>
    <row r="12" spans="2:8" ht="15.75" x14ac:dyDescent="0.25">
      <c r="B12" s="168"/>
      <c r="C12" s="9"/>
      <c r="D12" s="9"/>
      <c r="E12" s="126"/>
      <c r="F12" s="126"/>
      <c r="G12" s="126"/>
      <c r="H12" s="126"/>
    </row>
    <row r="13" spans="2:8" ht="15.75" x14ac:dyDescent="0.25">
      <c r="B13" s="33" t="s">
        <v>2</v>
      </c>
      <c r="C13" s="3"/>
      <c r="D13" s="3"/>
      <c r="E13" s="35">
        <v>1350370</v>
      </c>
      <c r="F13" s="161">
        <v>1233513</v>
      </c>
      <c r="G13" s="35">
        <f>150890166495/1000</f>
        <v>150890166.495</v>
      </c>
      <c r="H13" s="161">
        <v>180456008.498</v>
      </c>
    </row>
    <row r="14" spans="2:8" ht="15.75" x14ac:dyDescent="0.25">
      <c r="B14" s="33" t="s">
        <v>3</v>
      </c>
      <c r="C14" s="5"/>
      <c r="D14" s="5"/>
      <c r="E14" s="35">
        <v>370217</v>
      </c>
      <c r="F14" s="161">
        <v>304218</v>
      </c>
      <c r="G14" s="35">
        <f>112233791699/1000</f>
        <v>112233791.699</v>
      </c>
      <c r="H14" s="161">
        <v>139707615</v>
      </c>
    </row>
    <row r="15" spans="2:8" s="14" customFormat="1" ht="15.75" x14ac:dyDescent="0.25">
      <c r="B15" s="32" t="s">
        <v>4</v>
      </c>
      <c r="C15" s="2"/>
      <c r="D15" s="2"/>
      <c r="E15" s="36">
        <f>+E13-E14</f>
        <v>980153</v>
      </c>
      <c r="F15" s="36">
        <v>929295</v>
      </c>
      <c r="G15" s="36">
        <f>+G13-G14</f>
        <v>38656374.796000004</v>
      </c>
      <c r="H15" s="36">
        <v>40748393.497999996</v>
      </c>
    </row>
    <row r="16" spans="2:8" ht="15.75" x14ac:dyDescent="0.25">
      <c r="B16" s="33" t="s">
        <v>5</v>
      </c>
      <c r="C16" s="3"/>
      <c r="D16" s="3"/>
      <c r="E16" s="35">
        <v>58954</v>
      </c>
      <c r="F16" s="161">
        <v>68431</v>
      </c>
      <c r="G16" s="35">
        <f>5587126994/1000</f>
        <v>5587126.9939999999</v>
      </c>
      <c r="H16" s="161">
        <v>7464729</v>
      </c>
    </row>
    <row r="17" spans="2:16" ht="15.75" x14ac:dyDescent="0.25">
      <c r="B17" s="33" t="s">
        <v>6</v>
      </c>
      <c r="C17" s="5"/>
      <c r="D17" s="5"/>
      <c r="E17" s="35">
        <v>0</v>
      </c>
      <c r="F17" s="35">
        <v>0</v>
      </c>
      <c r="G17" s="35">
        <v>0</v>
      </c>
      <c r="H17" s="35">
        <v>0</v>
      </c>
    </row>
    <row r="18" spans="2:16" s="14" customFormat="1" ht="15.75" x14ac:dyDescent="0.25">
      <c r="B18" s="32" t="s">
        <v>7</v>
      </c>
      <c r="C18" s="2"/>
      <c r="D18" s="2"/>
      <c r="E18" s="36">
        <f>+E16-E17</f>
        <v>58954</v>
      </c>
      <c r="F18" s="36">
        <v>68431</v>
      </c>
      <c r="G18" s="36">
        <f>+G16-G17</f>
        <v>5587126.9939999999</v>
      </c>
      <c r="H18" s="36">
        <v>7464729</v>
      </c>
    </row>
    <row r="19" spans="2:16" ht="15.75" x14ac:dyDescent="0.25">
      <c r="B19" s="33" t="s">
        <v>8</v>
      </c>
      <c r="C19" s="3"/>
      <c r="D19" s="3"/>
      <c r="E19" s="158">
        <v>9677</v>
      </c>
      <c r="F19" s="161">
        <v>12595</v>
      </c>
      <c r="G19" s="35">
        <f>5288253833/1000</f>
        <v>5288253.8329999996</v>
      </c>
      <c r="H19" s="161">
        <v>3342521</v>
      </c>
    </row>
    <row r="20" spans="2:16" ht="15.75" x14ac:dyDescent="0.25">
      <c r="B20" s="33" t="s">
        <v>9</v>
      </c>
      <c r="C20" s="3"/>
      <c r="D20" s="3"/>
      <c r="E20" s="35">
        <v>0</v>
      </c>
      <c r="F20" s="35">
        <v>0</v>
      </c>
      <c r="G20" s="35">
        <v>0</v>
      </c>
      <c r="H20" s="35">
        <v>0</v>
      </c>
    </row>
    <row r="21" spans="2:16" ht="15.75" x14ac:dyDescent="0.25">
      <c r="B21" s="33" t="s">
        <v>10</v>
      </c>
      <c r="C21" s="3"/>
      <c r="D21" s="3"/>
      <c r="E21" s="35">
        <v>0</v>
      </c>
      <c r="F21" s="35">
        <v>0</v>
      </c>
      <c r="G21" s="35">
        <v>0</v>
      </c>
      <c r="H21" s="35">
        <v>0</v>
      </c>
    </row>
    <row r="22" spans="2:16" ht="15.75" x14ac:dyDescent="0.25">
      <c r="B22" s="33" t="s">
        <v>64</v>
      </c>
      <c r="C22" s="3"/>
      <c r="D22" s="3"/>
      <c r="E22" s="35">
        <v>0</v>
      </c>
      <c r="F22" s="35">
        <v>0</v>
      </c>
      <c r="G22" s="35">
        <v>0</v>
      </c>
      <c r="H22" s="35">
        <v>0</v>
      </c>
    </row>
    <row r="23" spans="2:16" ht="15.75" x14ac:dyDescent="0.25">
      <c r="B23" s="33" t="s">
        <v>9</v>
      </c>
      <c r="C23" s="3"/>
      <c r="D23" s="3"/>
      <c r="E23" s="35">
        <v>0</v>
      </c>
      <c r="F23" s="35">
        <v>0</v>
      </c>
      <c r="G23" s="35">
        <v>0</v>
      </c>
      <c r="H23" s="35">
        <v>0</v>
      </c>
    </row>
    <row r="24" spans="2:16" ht="15.75" x14ac:dyDescent="0.25">
      <c r="B24" s="33" t="s">
        <v>11</v>
      </c>
      <c r="C24" s="3"/>
      <c r="D24" s="3"/>
      <c r="E24" s="35">
        <v>0</v>
      </c>
      <c r="F24" s="35">
        <v>0</v>
      </c>
      <c r="G24" s="35">
        <v>0</v>
      </c>
      <c r="H24" s="35">
        <v>0</v>
      </c>
      <c r="P24" s="80"/>
    </row>
    <row r="25" spans="2:16" ht="15.75" x14ac:dyDescent="0.25">
      <c r="B25" s="33" t="s">
        <v>234</v>
      </c>
      <c r="C25" s="5"/>
      <c r="D25" s="5"/>
      <c r="E25" s="35">
        <f>1912</f>
        <v>1912</v>
      </c>
      <c r="F25" s="161">
        <v>415</v>
      </c>
      <c r="G25" s="35">
        <f>12529984351/1000</f>
        <v>12529984.351</v>
      </c>
      <c r="H25" s="161">
        <v>7615030</v>
      </c>
    </row>
    <row r="26" spans="2:16" s="14" customFormat="1" ht="15.75" x14ac:dyDescent="0.25">
      <c r="B26" s="32" t="s">
        <v>12</v>
      </c>
      <c r="C26" s="2"/>
      <c r="D26" s="2"/>
      <c r="E26" s="36">
        <f>+E15+E18+E19+E20+E21+E22+E23+E24+E25</f>
        <v>1050696</v>
      </c>
      <c r="F26" s="36">
        <v>1010736</v>
      </c>
      <c r="G26" s="36">
        <f>+G15+G18+G19+G20+G21+G22+G23+G24+G25</f>
        <v>62061739.974000007</v>
      </c>
      <c r="H26" s="36">
        <v>59170673.497999996</v>
      </c>
    </row>
    <row r="27" spans="2:16" ht="15.75" x14ac:dyDescent="0.25">
      <c r="B27" s="33" t="s">
        <v>13</v>
      </c>
      <c r="C27" s="3"/>
      <c r="D27" s="3"/>
      <c r="E27" s="35">
        <f>SUM(E28:E30)</f>
        <v>-70729</v>
      </c>
      <c r="F27" s="35">
        <v>-12951</v>
      </c>
      <c r="G27" s="35">
        <f>SUM(G28:G30)</f>
        <v>52413971.827</v>
      </c>
      <c r="H27" s="35">
        <v>39473936</v>
      </c>
    </row>
    <row r="28" spans="2:16" ht="15.75" x14ac:dyDescent="0.25">
      <c r="B28" s="33" t="s">
        <v>14</v>
      </c>
      <c r="C28" s="3"/>
      <c r="D28" s="3"/>
      <c r="E28" s="35">
        <v>0</v>
      </c>
      <c r="F28" s="35">
        <v>0</v>
      </c>
      <c r="G28" s="35">
        <v>0</v>
      </c>
      <c r="H28" s="35">
        <v>0</v>
      </c>
    </row>
    <row r="29" spans="2:16" ht="15.75" x14ac:dyDescent="0.25">
      <c r="B29" s="33" t="s">
        <v>15</v>
      </c>
      <c r="C29" s="3"/>
      <c r="D29" s="3"/>
      <c r="E29" s="35">
        <v>0</v>
      </c>
      <c r="F29" s="35">
        <v>0</v>
      </c>
      <c r="G29" s="35">
        <v>0</v>
      </c>
      <c r="H29" s="35">
        <v>0</v>
      </c>
    </row>
    <row r="30" spans="2:16" ht="15.75" x14ac:dyDescent="0.25">
      <c r="B30" s="33" t="s">
        <v>16</v>
      </c>
      <c r="C30" s="5"/>
      <c r="D30" s="5"/>
      <c r="E30" s="35">
        <f>-4582+11250-77397</f>
        <v>-70729</v>
      </c>
      <c r="F30" s="161">
        <v>-12951</v>
      </c>
      <c r="G30" s="35">
        <f>52413971827/1000</f>
        <v>52413971.827</v>
      </c>
      <c r="H30" s="161">
        <v>39473936</v>
      </c>
    </row>
    <row r="31" spans="2:16" s="14" customFormat="1" ht="15.75" x14ac:dyDescent="0.25">
      <c r="B31" s="32" t="s">
        <v>17</v>
      </c>
      <c r="C31" s="2"/>
      <c r="D31" s="2"/>
      <c r="E31" s="36">
        <f>+E26-E27</f>
        <v>1121425</v>
      </c>
      <c r="F31" s="36">
        <v>1023687</v>
      </c>
      <c r="G31" s="36">
        <f>+G26-G27</f>
        <v>9647768.1470000073</v>
      </c>
      <c r="H31" s="36">
        <v>19696737.497999996</v>
      </c>
    </row>
    <row r="32" spans="2:16" ht="15.75" x14ac:dyDescent="0.25">
      <c r="B32" s="33" t="s">
        <v>18</v>
      </c>
      <c r="C32" s="3"/>
      <c r="D32" s="3"/>
      <c r="E32" s="158">
        <f>50911+3408</f>
        <v>54319</v>
      </c>
      <c r="F32" s="161">
        <v>46278</v>
      </c>
      <c r="G32" s="35">
        <f>(22046551646+1524927881)/1000</f>
        <v>23571479.526999999</v>
      </c>
      <c r="H32" s="161">
        <v>26080505</v>
      </c>
    </row>
    <row r="33" spans="2:8" ht="15.75" x14ac:dyDescent="0.25">
      <c r="B33" s="33" t="s">
        <v>19</v>
      </c>
      <c r="C33" s="3"/>
      <c r="D33" s="3"/>
      <c r="E33" s="158">
        <v>6523</v>
      </c>
      <c r="F33" s="161">
        <v>10561</v>
      </c>
      <c r="G33" s="35">
        <f>7750290364/1000</f>
        <v>7750290.3640000001</v>
      </c>
      <c r="H33" s="161">
        <v>7260852</v>
      </c>
    </row>
    <row r="34" spans="2:8" ht="15.75" x14ac:dyDescent="0.25">
      <c r="B34" s="33" t="s">
        <v>20</v>
      </c>
      <c r="C34" s="5"/>
      <c r="D34" s="5"/>
      <c r="E34" s="158">
        <f>76608+6300+13911</f>
        <v>96819</v>
      </c>
      <c r="F34" s="161">
        <v>56548</v>
      </c>
      <c r="G34" s="35">
        <f>4647718297/1000</f>
        <v>4647718.2970000003</v>
      </c>
      <c r="H34" s="161">
        <v>4117543</v>
      </c>
    </row>
    <row r="35" spans="2:8" s="14" customFormat="1" ht="15.75" x14ac:dyDescent="0.25">
      <c r="B35" s="32" t="s">
        <v>21</v>
      </c>
      <c r="C35" s="2"/>
      <c r="D35" s="2"/>
      <c r="E35" s="36">
        <f>+E31-E32-E33-E34</f>
        <v>963764</v>
      </c>
      <c r="F35" s="36">
        <v>910300</v>
      </c>
      <c r="G35" s="36">
        <f>+G31-G32-G33-G34</f>
        <v>-26321720.040999994</v>
      </c>
      <c r="H35" s="36">
        <v>-17762162.502000004</v>
      </c>
    </row>
    <row r="36" spans="2:8" s="14" customFormat="1" ht="15.75" x14ac:dyDescent="0.25">
      <c r="B36" s="32" t="s">
        <v>22</v>
      </c>
      <c r="C36" s="2"/>
      <c r="D36" s="2"/>
      <c r="E36" s="36"/>
      <c r="F36" s="36"/>
      <c r="G36" s="36"/>
      <c r="H36" s="36"/>
    </row>
    <row r="37" spans="2:8" ht="15.75" x14ac:dyDescent="0.25">
      <c r="B37" s="33" t="s">
        <v>25</v>
      </c>
      <c r="C37" s="5"/>
      <c r="D37" s="5"/>
      <c r="E37" s="35">
        <v>115338</v>
      </c>
      <c r="F37" s="161">
        <v>107281</v>
      </c>
      <c r="G37" s="35">
        <v>0</v>
      </c>
      <c r="H37" s="35">
        <v>0</v>
      </c>
    </row>
    <row r="38" spans="2:8" s="14" customFormat="1" ht="15.75" x14ac:dyDescent="0.25">
      <c r="B38" s="32" t="s">
        <v>26</v>
      </c>
      <c r="C38" s="2"/>
      <c r="D38" s="2"/>
      <c r="E38" s="36">
        <f>+E35-E37</f>
        <v>848426</v>
      </c>
      <c r="F38" s="36">
        <v>803019</v>
      </c>
      <c r="G38" s="36">
        <f>+G35-G37</f>
        <v>-26321720.040999994</v>
      </c>
      <c r="H38" s="36">
        <v>-17762162.502000004</v>
      </c>
    </row>
    <row r="39" spans="2:8" s="14" customFormat="1" ht="15.75" x14ac:dyDescent="0.25">
      <c r="B39" s="32" t="s">
        <v>22</v>
      </c>
      <c r="C39" s="2"/>
      <c r="D39" s="2"/>
      <c r="E39" s="36"/>
      <c r="F39" s="36"/>
      <c r="G39" s="36"/>
      <c r="H39" s="36"/>
    </row>
    <row r="40" spans="2:8" ht="15.75" x14ac:dyDescent="0.25">
      <c r="B40" s="33" t="s">
        <v>23</v>
      </c>
      <c r="C40" s="3"/>
      <c r="D40" s="3"/>
      <c r="E40" s="35">
        <v>0</v>
      </c>
      <c r="F40" s="35">
        <v>0</v>
      </c>
      <c r="G40" s="39">
        <v>0</v>
      </c>
      <c r="H40" s="35">
        <v>0</v>
      </c>
    </row>
    <row r="41" spans="2:8" ht="15.75" x14ac:dyDescent="0.25">
      <c r="B41" s="33" t="s">
        <v>24</v>
      </c>
      <c r="C41" s="5"/>
      <c r="D41" s="5"/>
      <c r="E41" s="35">
        <v>0</v>
      </c>
      <c r="F41" s="35">
        <v>0</v>
      </c>
      <c r="G41" s="39">
        <v>0</v>
      </c>
      <c r="H41" s="35">
        <v>0</v>
      </c>
    </row>
    <row r="42" spans="2:8" s="14" customFormat="1" ht="15.75" x14ac:dyDescent="0.25">
      <c r="B42" s="32" t="s">
        <v>27</v>
      </c>
      <c r="C42" s="2"/>
      <c r="D42" s="2"/>
      <c r="E42" s="36">
        <f>+E38+E40</f>
        <v>848426</v>
      </c>
      <c r="F42" s="36">
        <v>803019</v>
      </c>
      <c r="G42" s="36">
        <f>+G38+G40</f>
        <v>-26321720.040999994</v>
      </c>
      <c r="H42" s="36">
        <v>-17762162.502000004</v>
      </c>
    </row>
    <row r="43" spans="2:8" ht="15.75" x14ac:dyDescent="0.25">
      <c r="B43" s="33" t="s">
        <v>28</v>
      </c>
      <c r="C43" s="5"/>
      <c r="D43" s="5"/>
      <c r="E43" s="35">
        <v>65196</v>
      </c>
      <c r="F43" s="161">
        <v>81000</v>
      </c>
      <c r="G43" s="35">
        <f>1379024659/1000</f>
        <v>1379024.659</v>
      </c>
      <c r="H43" s="161">
        <v>1849161</v>
      </c>
    </row>
    <row r="44" spans="2:8" s="14" customFormat="1" ht="15.75" x14ac:dyDescent="0.25">
      <c r="B44" s="32" t="s">
        <v>29</v>
      </c>
      <c r="C44" s="6"/>
      <c r="D44" s="6"/>
      <c r="E44" s="36">
        <f>+E42-E43</f>
        <v>783230</v>
      </c>
      <c r="F44" s="36">
        <v>722019</v>
      </c>
      <c r="G44" s="36">
        <f>+G42-G43</f>
        <v>-27700744.699999996</v>
      </c>
      <c r="H44" s="36">
        <v>-19611323.502000004</v>
      </c>
    </row>
    <row r="45" spans="2:8" s="14" customFormat="1" ht="15.75" x14ac:dyDescent="0.25">
      <c r="B45" s="32" t="s">
        <v>30</v>
      </c>
      <c r="C45" s="2"/>
      <c r="D45" s="2"/>
      <c r="E45" s="36"/>
      <c r="F45" s="36"/>
      <c r="G45" s="36"/>
      <c r="H45" s="36"/>
    </row>
    <row r="46" spans="2:8" ht="15.75" x14ac:dyDescent="0.25">
      <c r="B46" s="33" t="s">
        <v>236</v>
      </c>
      <c r="C46" s="3"/>
      <c r="D46" s="3"/>
      <c r="E46" s="35">
        <f t="shared" ref="E46:F46" si="0">+E44</f>
        <v>783230</v>
      </c>
      <c r="F46" s="35">
        <f t="shared" si="0"/>
        <v>722019</v>
      </c>
      <c r="G46" s="35">
        <f>+G44</f>
        <v>-27700744.699999996</v>
      </c>
      <c r="H46" s="35">
        <f>+H44</f>
        <v>-19611323.502000004</v>
      </c>
    </row>
    <row r="47" spans="2:8" ht="15.75" x14ac:dyDescent="0.25">
      <c r="B47" s="33" t="s">
        <v>32</v>
      </c>
      <c r="C47" s="3"/>
      <c r="D47" s="3"/>
      <c r="E47" s="35"/>
      <c r="F47" s="35"/>
      <c r="G47" s="35"/>
      <c r="H47" s="35"/>
    </row>
    <row r="48" spans="2:8" ht="15.75" x14ac:dyDescent="0.25">
      <c r="B48" s="33"/>
      <c r="C48" s="7"/>
      <c r="D48" s="7"/>
      <c r="E48" s="35"/>
      <c r="F48" s="35"/>
      <c r="G48" s="35"/>
      <c r="H48" s="35"/>
    </row>
    <row r="49" spans="2:8" s="14" customFormat="1" ht="15.75" x14ac:dyDescent="0.25">
      <c r="B49" s="32" t="s">
        <v>235</v>
      </c>
      <c r="C49" s="2"/>
      <c r="D49" s="2"/>
      <c r="E49" s="36"/>
      <c r="F49" s="36"/>
      <c r="G49" s="36"/>
      <c r="H49" s="36"/>
    </row>
    <row r="50" spans="2:8" ht="15.75" x14ac:dyDescent="0.25">
      <c r="B50" s="33" t="s">
        <v>33</v>
      </c>
      <c r="C50" s="3"/>
      <c r="D50" s="3"/>
      <c r="E50" s="35"/>
      <c r="F50" s="35"/>
      <c r="G50" s="61"/>
      <c r="H50" s="35"/>
    </row>
    <row r="51" spans="2:8" ht="15.75" x14ac:dyDescent="0.25">
      <c r="B51" s="33" t="s">
        <v>240</v>
      </c>
      <c r="C51" s="5"/>
      <c r="D51" s="5"/>
      <c r="E51" s="35"/>
      <c r="F51" s="35"/>
      <c r="G51" s="61"/>
      <c r="H51" s="35"/>
    </row>
  </sheetData>
  <mergeCells count="6">
    <mergeCell ref="E5:F5"/>
    <mergeCell ref="G5:H5"/>
    <mergeCell ref="B1:H1"/>
    <mergeCell ref="B2:H2"/>
    <mergeCell ref="B4:H4"/>
    <mergeCell ref="B3:H3"/>
  </mergeCells>
  <phoneticPr fontId="0" type="noConversion"/>
  <pageMargins left="0.59055118110236204" right="0.43307086614173201" top="0.74803149606299202" bottom="0.74803149606299202" header="0.35433070866141703" footer="0.31496062992126"/>
  <pageSetup paperSize="9" scale="75" fitToHeight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opLeftCell="A13" workbookViewId="0">
      <selection activeCell="F26" sqref="F26"/>
    </sheetView>
  </sheetViews>
  <sheetFormatPr defaultRowHeight="15" x14ac:dyDescent="0.25"/>
  <cols>
    <col min="1" max="1" width="48.85546875" style="1" customWidth="1"/>
    <col min="2" max="5" width="0" style="1" hidden="1" customWidth="1"/>
    <col min="6" max="6" width="13.85546875" style="13" customWidth="1"/>
    <col min="7" max="7" width="15.42578125" style="13" customWidth="1"/>
    <col min="8" max="8" width="15.28515625" style="13" customWidth="1"/>
    <col min="9" max="9" width="14.140625" style="13" customWidth="1"/>
    <col min="10" max="16384" width="9.140625" style="1"/>
  </cols>
  <sheetData>
    <row r="1" spans="1:9" ht="15.75" x14ac:dyDescent="0.25">
      <c r="A1" s="232" t="s">
        <v>39</v>
      </c>
      <c r="B1" s="233"/>
      <c r="C1" s="233"/>
      <c r="D1" s="233"/>
      <c r="E1" s="233"/>
      <c r="F1" s="233"/>
      <c r="G1" s="233"/>
      <c r="H1" s="233"/>
      <c r="I1" s="234"/>
    </row>
    <row r="2" spans="1:9" ht="15.75" x14ac:dyDescent="0.25">
      <c r="A2" s="235" t="s">
        <v>40</v>
      </c>
      <c r="B2" s="236"/>
      <c r="C2" s="236"/>
      <c r="D2" s="236"/>
      <c r="E2" s="236"/>
      <c r="F2" s="236"/>
      <c r="G2" s="236"/>
      <c r="H2" s="236"/>
      <c r="I2" s="237"/>
    </row>
    <row r="3" spans="1:9" ht="15.75" x14ac:dyDescent="0.25">
      <c r="A3" s="241" t="s">
        <v>289</v>
      </c>
      <c r="B3" s="242"/>
      <c r="C3" s="242"/>
      <c r="D3" s="242"/>
      <c r="E3" s="242"/>
      <c r="F3" s="242"/>
      <c r="G3" s="242"/>
      <c r="H3" s="242"/>
      <c r="I3" s="243"/>
    </row>
    <row r="4" spans="1:9" ht="15.75" x14ac:dyDescent="0.25">
      <c r="A4" s="70"/>
      <c r="B4" s="40"/>
      <c r="C4" s="40"/>
      <c r="D4" s="40"/>
      <c r="E4" s="40"/>
      <c r="F4" s="66"/>
      <c r="G4" s="66"/>
      <c r="H4" s="66"/>
      <c r="I4" s="102"/>
    </row>
    <row r="5" spans="1:9" ht="15.75" x14ac:dyDescent="0.25">
      <c r="A5" s="63"/>
      <c r="B5" s="3"/>
      <c r="C5" s="3"/>
      <c r="D5" s="3"/>
      <c r="E5" s="3"/>
      <c r="F5" s="244" t="s">
        <v>34</v>
      </c>
      <c r="G5" s="245"/>
      <c r="H5" s="246" t="s">
        <v>45</v>
      </c>
      <c r="I5" s="245"/>
    </row>
    <row r="6" spans="1:9" ht="31.5" x14ac:dyDescent="0.25">
      <c r="A6" s="64" t="s">
        <v>283</v>
      </c>
      <c r="B6" s="3"/>
      <c r="C6" s="3"/>
      <c r="D6" s="3"/>
      <c r="E6" s="3"/>
      <c r="F6" s="121" t="s">
        <v>239</v>
      </c>
      <c r="G6" s="121" t="s">
        <v>273</v>
      </c>
      <c r="H6" s="121" t="s">
        <v>239</v>
      </c>
      <c r="I6" s="121" t="s">
        <v>273</v>
      </c>
    </row>
    <row r="7" spans="1:9" ht="15.75" x14ac:dyDescent="0.25">
      <c r="A7" s="64"/>
      <c r="B7" s="3"/>
      <c r="C7" s="3"/>
      <c r="D7" s="3"/>
      <c r="E7" s="3"/>
      <c r="F7" s="122" t="s">
        <v>36</v>
      </c>
      <c r="G7" s="122" t="s">
        <v>36</v>
      </c>
      <c r="H7" s="122" t="s">
        <v>36</v>
      </c>
      <c r="I7" s="122" t="s">
        <v>36</v>
      </c>
    </row>
    <row r="8" spans="1:9" ht="15.75" x14ac:dyDescent="0.25">
      <c r="A8" s="62"/>
      <c r="B8" s="3"/>
      <c r="C8" s="3"/>
      <c r="D8" s="3"/>
      <c r="E8" s="3"/>
      <c r="F8" s="122" t="s">
        <v>272</v>
      </c>
      <c r="G8" s="122" t="s">
        <v>249</v>
      </c>
      <c r="H8" s="122" t="s">
        <v>272</v>
      </c>
      <c r="I8" s="122" t="s">
        <v>249</v>
      </c>
    </row>
    <row r="9" spans="1:9" ht="15.75" x14ac:dyDescent="0.25">
      <c r="A9" s="62"/>
      <c r="B9" s="3"/>
      <c r="C9" s="3"/>
      <c r="D9" s="3"/>
      <c r="E9" s="3"/>
      <c r="F9" s="122" t="s">
        <v>37</v>
      </c>
      <c r="G9" s="122" t="s">
        <v>37</v>
      </c>
      <c r="H9" s="122" t="s">
        <v>37</v>
      </c>
      <c r="I9" s="122" t="s">
        <v>37</v>
      </c>
    </row>
    <row r="10" spans="1:9" ht="15.75" x14ac:dyDescent="0.25">
      <c r="A10" s="62"/>
      <c r="B10" s="3"/>
      <c r="C10" s="3"/>
      <c r="D10" s="3"/>
      <c r="E10" s="3"/>
      <c r="F10" s="221" t="str">
        <f>+'INCOME(1)'!E10</f>
        <v>31.12.2016</v>
      </c>
      <c r="G10" s="221" t="str">
        <f>+'INCOME(1)'!F10</f>
        <v>31.12.2015</v>
      </c>
      <c r="H10" s="221" t="str">
        <f>+'INCOME(1)'!G10</f>
        <v>31.12.2016</v>
      </c>
      <c r="I10" s="221" t="str">
        <f>+'INCOME(1)'!H10</f>
        <v>31.12.2015</v>
      </c>
    </row>
    <row r="11" spans="1:9" ht="15.75" x14ac:dyDescent="0.25">
      <c r="A11" s="65"/>
      <c r="B11" s="5"/>
      <c r="C11" s="5"/>
      <c r="D11" s="5"/>
      <c r="E11" s="5"/>
      <c r="F11" s="124" t="s">
        <v>180</v>
      </c>
      <c r="G11" s="162" t="s">
        <v>180</v>
      </c>
      <c r="H11" s="162" t="s">
        <v>181</v>
      </c>
      <c r="I11" s="162" t="s">
        <v>181</v>
      </c>
    </row>
    <row r="12" spans="1:9" s="14" customFormat="1" ht="15.75" x14ac:dyDescent="0.25">
      <c r="A12" s="32" t="s">
        <v>41</v>
      </c>
      <c r="B12" s="2"/>
      <c r="C12" s="2"/>
      <c r="D12" s="2"/>
      <c r="E12" s="2"/>
      <c r="F12" s="36">
        <f>+'INCOME(1)'!E44</f>
        <v>783230</v>
      </c>
      <c r="G12" s="36">
        <f>+'INCOME(1)'!F44</f>
        <v>722019</v>
      </c>
      <c r="H12" s="36">
        <f>+'INCOME(1)'!G44</f>
        <v>-27700744.699999996</v>
      </c>
      <c r="I12" s="36">
        <f>+'INCOME(1)'!H44</f>
        <v>-19611323.502000004</v>
      </c>
    </row>
    <row r="13" spans="1:9" ht="15.75" x14ac:dyDescent="0.25">
      <c r="A13" s="33"/>
      <c r="B13" s="3"/>
      <c r="C13" s="3"/>
      <c r="D13" s="3"/>
      <c r="E13" s="3"/>
      <c r="F13" s="35"/>
      <c r="G13" s="35"/>
      <c r="H13" s="35"/>
      <c r="I13" s="35"/>
    </row>
    <row r="14" spans="1:9" s="14" customFormat="1" ht="15.75" x14ac:dyDescent="0.25">
      <c r="A14" s="32" t="s">
        <v>42</v>
      </c>
      <c r="B14" s="2"/>
      <c r="C14" s="2"/>
      <c r="D14" s="2"/>
      <c r="E14" s="2"/>
      <c r="F14" s="36"/>
      <c r="G14" s="36"/>
      <c r="H14" s="36"/>
      <c r="I14" s="36"/>
    </row>
    <row r="15" spans="1:9" ht="15.75" x14ac:dyDescent="0.25">
      <c r="A15" s="33" t="s">
        <v>43</v>
      </c>
      <c r="B15" s="3"/>
      <c r="C15" s="3"/>
      <c r="D15" s="3"/>
      <c r="E15" s="3"/>
      <c r="F15" s="35"/>
      <c r="G15" s="35"/>
      <c r="H15" s="35"/>
      <c r="I15" s="35"/>
    </row>
    <row r="16" spans="1:9" ht="15.75" x14ac:dyDescent="0.25">
      <c r="A16" s="33" t="s">
        <v>185</v>
      </c>
      <c r="B16" s="3"/>
      <c r="C16" s="3"/>
      <c r="D16" s="3"/>
      <c r="E16" s="3"/>
      <c r="F16" s="35">
        <v>0</v>
      </c>
      <c r="G16" s="35">
        <v>0</v>
      </c>
      <c r="H16" s="35">
        <v>0</v>
      </c>
      <c r="I16" s="35">
        <v>0</v>
      </c>
    </row>
    <row r="17" spans="1:9" ht="15.75" x14ac:dyDescent="0.25">
      <c r="A17" s="33" t="s">
        <v>44</v>
      </c>
      <c r="B17" s="3"/>
      <c r="C17" s="3"/>
      <c r="D17" s="3"/>
      <c r="E17" s="3"/>
      <c r="F17" s="35"/>
      <c r="G17" s="35"/>
      <c r="H17" s="35"/>
      <c r="I17" s="35"/>
    </row>
    <row r="18" spans="1:9" ht="15.75" x14ac:dyDescent="0.25">
      <c r="A18" s="33" t="s">
        <v>186</v>
      </c>
      <c r="B18" s="3"/>
      <c r="C18" s="3"/>
      <c r="D18" s="3"/>
      <c r="E18" s="3"/>
      <c r="F18" s="35"/>
      <c r="G18" s="35"/>
      <c r="H18" s="35"/>
      <c r="I18" s="35"/>
    </row>
    <row r="19" spans="1:9" ht="15.75" x14ac:dyDescent="0.25">
      <c r="A19" s="33" t="s">
        <v>46</v>
      </c>
      <c r="B19" s="3"/>
      <c r="C19" s="3"/>
      <c r="D19" s="3"/>
      <c r="E19" s="3"/>
      <c r="F19" s="35"/>
      <c r="G19" s="35"/>
      <c r="H19" s="35"/>
      <c r="I19" s="35"/>
    </row>
    <row r="20" spans="1:9" ht="15.75" x14ac:dyDescent="0.25">
      <c r="A20" s="33" t="s">
        <v>47</v>
      </c>
      <c r="B20" s="3"/>
      <c r="C20" s="3"/>
      <c r="D20" s="3"/>
      <c r="E20" s="3"/>
      <c r="F20" s="35"/>
      <c r="G20" s="35"/>
      <c r="H20" s="35"/>
      <c r="I20" s="35"/>
    </row>
    <row r="21" spans="1:9" ht="15.75" x14ac:dyDescent="0.25">
      <c r="A21" s="33" t="s">
        <v>48</v>
      </c>
      <c r="B21" s="3"/>
      <c r="C21" s="3"/>
      <c r="D21" s="3"/>
      <c r="E21" s="3"/>
      <c r="F21" s="35"/>
      <c r="G21" s="35"/>
      <c r="H21" s="35"/>
      <c r="I21" s="35"/>
    </row>
    <row r="22" spans="1:9" ht="15.75" x14ac:dyDescent="0.25">
      <c r="A22" s="33" t="s">
        <v>231</v>
      </c>
      <c r="B22" s="5"/>
      <c r="C22" s="5"/>
      <c r="D22" s="5"/>
      <c r="E22" s="5"/>
      <c r="F22" s="227">
        <f>4928525.19*(149.6-145.25)/1000</f>
        <v>21439.084576499972</v>
      </c>
      <c r="G22" s="35"/>
      <c r="H22" s="35"/>
      <c r="I22" s="35"/>
    </row>
    <row r="23" spans="1:9" ht="15.75" x14ac:dyDescent="0.25">
      <c r="A23" s="33" t="s">
        <v>59</v>
      </c>
      <c r="B23" s="3"/>
      <c r="C23" s="3"/>
      <c r="D23" s="3"/>
      <c r="E23" s="3"/>
      <c r="F23" s="35"/>
      <c r="G23" s="35"/>
      <c r="H23" s="35"/>
      <c r="I23" s="35"/>
    </row>
    <row r="24" spans="1:9" ht="15.75" x14ac:dyDescent="0.25">
      <c r="A24" s="33" t="s">
        <v>49</v>
      </c>
      <c r="B24" s="3"/>
      <c r="C24" s="3"/>
      <c r="D24" s="3"/>
      <c r="E24" s="3"/>
      <c r="F24" s="35"/>
      <c r="G24" s="35"/>
      <c r="H24" s="35"/>
      <c r="I24" s="35"/>
    </row>
    <row r="25" spans="1:9" ht="15.75" x14ac:dyDescent="0.25">
      <c r="A25" s="33" t="s">
        <v>60</v>
      </c>
      <c r="B25" s="5"/>
      <c r="C25" s="5"/>
      <c r="D25" s="5"/>
      <c r="E25" s="5"/>
      <c r="F25" s="35"/>
      <c r="G25" s="35"/>
      <c r="H25" s="35"/>
      <c r="I25" s="35"/>
    </row>
    <row r="26" spans="1:9" s="14" customFormat="1" ht="15.75" x14ac:dyDescent="0.25">
      <c r="A26" s="32" t="s">
        <v>50</v>
      </c>
      <c r="B26" s="2"/>
      <c r="C26" s="2"/>
      <c r="D26" s="2"/>
      <c r="E26" s="2"/>
      <c r="F26" s="36">
        <f>SUM(F15:F25)</f>
        <v>21439.084576499972</v>
      </c>
      <c r="G26" s="36">
        <f>SUM(G15:G25)</f>
        <v>0</v>
      </c>
      <c r="H26" s="36">
        <f>+H16</f>
        <v>0</v>
      </c>
      <c r="I26" s="36">
        <f>+I16</f>
        <v>0</v>
      </c>
    </row>
    <row r="27" spans="1:9" s="14" customFormat="1" ht="15.75" x14ac:dyDescent="0.25">
      <c r="A27" s="32" t="s">
        <v>61</v>
      </c>
      <c r="B27" s="4"/>
      <c r="C27" s="4"/>
      <c r="D27" s="4"/>
      <c r="E27" s="4"/>
      <c r="F27" s="36"/>
      <c r="G27" s="36"/>
      <c r="H27" s="36"/>
      <c r="I27" s="36"/>
    </row>
    <row r="28" spans="1:9" ht="15.75" x14ac:dyDescent="0.25">
      <c r="A28" s="32" t="s">
        <v>62</v>
      </c>
      <c r="B28" s="8"/>
      <c r="C28" s="8"/>
      <c r="D28" s="8"/>
      <c r="E28" s="8"/>
      <c r="F28" s="36">
        <f>+F26+F12</f>
        <v>804669.0845765</v>
      </c>
      <c r="G28" s="36">
        <f>+G26+G12</f>
        <v>722019</v>
      </c>
      <c r="H28" s="36">
        <f>+H26+H12</f>
        <v>-27700744.699999996</v>
      </c>
      <c r="I28" s="36">
        <f>+I26+I12</f>
        <v>-19611323.502000004</v>
      </c>
    </row>
    <row r="29" spans="1:9" ht="15.75" x14ac:dyDescent="0.25">
      <c r="A29" s="32" t="s">
        <v>62</v>
      </c>
      <c r="B29" s="5"/>
      <c r="C29" s="5"/>
      <c r="D29" s="5"/>
      <c r="E29" s="5"/>
      <c r="F29" s="35"/>
      <c r="G29" s="35"/>
      <c r="H29" s="35"/>
      <c r="I29" s="35"/>
    </row>
    <row r="30" spans="1:9" ht="15.75" x14ac:dyDescent="0.25">
      <c r="A30" s="32" t="s">
        <v>51</v>
      </c>
      <c r="B30" s="3"/>
      <c r="C30" s="3"/>
      <c r="D30" s="3"/>
      <c r="E30" s="3"/>
      <c r="F30" s="35"/>
      <c r="G30" s="35"/>
      <c r="H30" s="35"/>
      <c r="I30" s="35"/>
    </row>
    <row r="31" spans="1:9" ht="15.75" x14ac:dyDescent="0.25">
      <c r="A31" s="33" t="s">
        <v>31</v>
      </c>
      <c r="B31" s="3"/>
      <c r="C31" s="3"/>
      <c r="D31" s="3"/>
      <c r="E31" s="3"/>
      <c r="F31" s="35">
        <f t="shared" ref="F31:G31" si="0">+F28</f>
        <v>804669.0845765</v>
      </c>
      <c r="G31" s="35">
        <f t="shared" si="0"/>
        <v>722019</v>
      </c>
      <c r="H31" s="35">
        <f>+H28</f>
        <v>-27700744.699999996</v>
      </c>
      <c r="I31" s="35">
        <f>+I28</f>
        <v>-19611323.502000004</v>
      </c>
    </row>
    <row r="32" spans="1:9" ht="15.75" x14ac:dyDescent="0.25">
      <c r="A32" s="33" t="s">
        <v>52</v>
      </c>
      <c r="B32" s="3"/>
      <c r="C32" s="3"/>
      <c r="D32" s="3"/>
      <c r="E32" s="3"/>
      <c r="F32" s="35"/>
      <c r="G32" s="35"/>
      <c r="H32" s="35">
        <v>0</v>
      </c>
      <c r="I32" s="35">
        <v>0</v>
      </c>
    </row>
  </sheetData>
  <mergeCells count="5">
    <mergeCell ref="F5:G5"/>
    <mergeCell ref="H5:I5"/>
    <mergeCell ref="A1:I1"/>
    <mergeCell ref="A2:I2"/>
    <mergeCell ref="A3:I3"/>
  </mergeCells>
  <phoneticPr fontId="0" type="noConversion"/>
  <pageMargins left="0.44" right="0.17" top="0.74803149606299213" bottom="0.74803149606299213" header="0.31496062992125984" footer="0.31496062992125984"/>
  <pageSetup paperSize="9" scale="90" fitToHeight="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opLeftCell="A8" workbookViewId="0">
      <selection activeCell="G38" sqref="G38"/>
    </sheetView>
  </sheetViews>
  <sheetFormatPr defaultRowHeight="15" x14ac:dyDescent="0.25"/>
  <cols>
    <col min="1" max="1" width="46.140625" style="1" customWidth="1"/>
    <col min="2" max="5" width="0" style="1" hidden="1" customWidth="1"/>
    <col min="6" max="6" width="15.5703125" style="18" bestFit="1" customWidth="1"/>
    <col min="7" max="7" width="16.5703125" style="18" bestFit="1" customWidth="1"/>
    <col min="8" max="8" width="15.7109375" style="18" bestFit="1" customWidth="1"/>
    <col min="9" max="9" width="16.5703125" style="18" bestFit="1" customWidth="1"/>
    <col min="10" max="10" width="14.28515625" style="16" bestFit="1" customWidth="1"/>
    <col min="11" max="11" width="9.5703125" style="1" bestFit="1" customWidth="1"/>
    <col min="12" max="12" width="13.7109375" style="1" bestFit="1" customWidth="1"/>
    <col min="13" max="16384" width="9.140625" style="1"/>
  </cols>
  <sheetData>
    <row r="1" spans="1:12" ht="15.75" x14ac:dyDescent="0.25">
      <c r="A1" s="232" t="s">
        <v>39</v>
      </c>
      <c r="B1" s="233"/>
      <c r="C1" s="233"/>
      <c r="D1" s="233"/>
      <c r="E1" s="233"/>
      <c r="F1" s="233"/>
      <c r="G1" s="233"/>
      <c r="H1" s="233"/>
      <c r="I1" s="234"/>
    </row>
    <row r="2" spans="1:12" ht="15.75" x14ac:dyDescent="0.25">
      <c r="A2" s="235" t="s">
        <v>226</v>
      </c>
      <c r="B2" s="236"/>
      <c r="C2" s="236"/>
      <c r="D2" s="236"/>
      <c r="E2" s="236"/>
      <c r="F2" s="236"/>
      <c r="G2" s="236"/>
      <c r="H2" s="236"/>
      <c r="I2" s="237"/>
    </row>
    <row r="3" spans="1:12" ht="15.75" x14ac:dyDescent="0.25">
      <c r="A3" s="235" t="s">
        <v>297</v>
      </c>
      <c r="B3" s="236"/>
      <c r="C3" s="236"/>
      <c r="D3" s="236"/>
      <c r="E3" s="236"/>
      <c r="F3" s="236"/>
      <c r="G3" s="236"/>
      <c r="H3" s="236"/>
      <c r="I3" s="237"/>
    </row>
    <row r="4" spans="1:12" ht="15.75" x14ac:dyDescent="0.25">
      <c r="A4" s="238"/>
      <c r="B4" s="239"/>
      <c r="C4" s="239"/>
      <c r="D4" s="239"/>
      <c r="E4" s="239"/>
      <c r="F4" s="239"/>
      <c r="G4" s="239"/>
      <c r="H4" s="239"/>
      <c r="I4" s="240"/>
    </row>
    <row r="5" spans="1:12" ht="15.75" x14ac:dyDescent="0.25">
      <c r="A5" s="63"/>
      <c r="B5" s="3"/>
      <c r="C5" s="3"/>
      <c r="D5" s="3"/>
      <c r="E5" s="3"/>
      <c r="F5" s="251" t="s">
        <v>34</v>
      </c>
      <c r="G5" s="252"/>
      <c r="H5" s="251" t="s">
        <v>45</v>
      </c>
      <c r="I5" s="252"/>
    </row>
    <row r="6" spans="1:12" ht="15.75" x14ac:dyDescent="0.25">
      <c r="A6" s="64" t="s">
        <v>283</v>
      </c>
      <c r="B6" s="3"/>
      <c r="C6" s="3"/>
      <c r="D6" s="3"/>
      <c r="E6" s="3"/>
      <c r="F6" s="249" t="s">
        <v>238</v>
      </c>
      <c r="G6" s="247" t="s">
        <v>237</v>
      </c>
      <c r="H6" s="247" t="s">
        <v>238</v>
      </c>
      <c r="I6" s="247" t="s">
        <v>237</v>
      </c>
    </row>
    <row r="7" spans="1:12" ht="15.75" x14ac:dyDescent="0.25">
      <c r="A7" s="64"/>
      <c r="B7" s="3"/>
      <c r="C7" s="3"/>
      <c r="D7" s="3"/>
      <c r="E7" s="3"/>
      <c r="F7" s="250"/>
      <c r="G7" s="248"/>
      <c r="H7" s="248"/>
      <c r="I7" s="248"/>
    </row>
    <row r="8" spans="1:12" ht="15.75" x14ac:dyDescent="0.25">
      <c r="A8" s="64"/>
      <c r="B8" s="67"/>
      <c r="C8" s="33"/>
      <c r="D8" s="33"/>
      <c r="E8" s="33"/>
      <c r="F8" s="125" t="s">
        <v>179</v>
      </c>
      <c r="G8" s="163" t="s">
        <v>179</v>
      </c>
      <c r="H8" s="163" t="s">
        <v>179</v>
      </c>
      <c r="I8" s="163" t="s">
        <v>179</v>
      </c>
    </row>
    <row r="9" spans="1:12" ht="15.75" x14ac:dyDescent="0.25">
      <c r="A9" s="62"/>
      <c r="B9" s="67"/>
      <c r="C9" s="33"/>
      <c r="D9" s="33"/>
      <c r="E9" s="33"/>
      <c r="F9" s="125" t="str">
        <f>+'INCOME(1)'!E10</f>
        <v>31.12.2016</v>
      </c>
      <c r="G9" s="125" t="s">
        <v>253</v>
      </c>
      <c r="H9" s="125" t="str">
        <f>+F9</f>
        <v>31.12.2016</v>
      </c>
      <c r="I9" s="125" t="s">
        <v>253</v>
      </c>
    </row>
    <row r="10" spans="1:12" ht="15.75" x14ac:dyDescent="0.25">
      <c r="A10" s="65"/>
      <c r="B10" s="67"/>
      <c r="C10" s="33"/>
      <c r="D10" s="33"/>
      <c r="E10" s="33"/>
      <c r="F10" s="126" t="s">
        <v>180</v>
      </c>
      <c r="G10" s="164" t="s">
        <v>180</v>
      </c>
      <c r="H10" s="164" t="s">
        <v>181</v>
      </c>
      <c r="I10" s="164" t="s">
        <v>181</v>
      </c>
    </row>
    <row r="11" spans="1:12" ht="15.75" x14ac:dyDescent="0.25">
      <c r="A11" s="65"/>
      <c r="B11" s="67"/>
      <c r="C11" s="33"/>
      <c r="D11" s="33"/>
      <c r="E11" s="33"/>
      <c r="F11" s="126"/>
      <c r="G11" s="126" t="s">
        <v>251</v>
      </c>
      <c r="H11" s="126"/>
      <c r="I11" s="126" t="s">
        <v>251</v>
      </c>
    </row>
    <row r="12" spans="1:12" ht="15.75" x14ac:dyDescent="0.25">
      <c r="A12" s="32" t="s">
        <v>53</v>
      </c>
      <c r="B12" s="33"/>
      <c r="C12" s="33"/>
      <c r="D12" s="33"/>
      <c r="E12" s="33"/>
      <c r="F12" s="34"/>
      <c r="G12" s="34"/>
      <c r="H12" s="34"/>
      <c r="I12" s="34"/>
    </row>
    <row r="13" spans="1:12" ht="15.75" x14ac:dyDescent="0.25">
      <c r="A13" s="33" t="s">
        <v>241</v>
      </c>
      <c r="B13" s="33"/>
      <c r="C13" s="33"/>
      <c r="D13" s="33"/>
      <c r="E13" s="33"/>
      <c r="F13" s="35">
        <f>16279+544914+56852</f>
        <v>618045</v>
      </c>
      <c r="G13" s="35">
        <f>7429+160804+96891</f>
        <v>265124</v>
      </c>
      <c r="H13" s="35">
        <f>149986212766/1000</f>
        <v>149986212.766</v>
      </c>
      <c r="I13" s="35">
        <f>(141879567871)/1000</f>
        <v>141879567.87099999</v>
      </c>
    </row>
    <row r="14" spans="1:12" ht="15.75" x14ac:dyDescent="0.25">
      <c r="A14" s="33" t="s">
        <v>54</v>
      </c>
      <c r="B14" s="33"/>
      <c r="C14" s="33"/>
      <c r="D14" s="33"/>
      <c r="E14" s="33"/>
      <c r="F14" s="35">
        <v>59850</v>
      </c>
      <c r="G14" s="35">
        <v>119118</v>
      </c>
      <c r="H14" s="35">
        <f>5914378456/1000</f>
        <v>5914378.4560000002</v>
      </c>
      <c r="I14" s="35">
        <f>7303787955/1000</f>
        <v>7303787.9550000001</v>
      </c>
    </row>
    <row r="15" spans="1:12" ht="15.75" x14ac:dyDescent="0.25">
      <c r="A15" s="33" t="s">
        <v>55</v>
      </c>
      <c r="B15" s="33"/>
      <c r="C15" s="33"/>
      <c r="D15" s="33"/>
      <c r="E15" s="33"/>
      <c r="F15" s="35">
        <v>13865287</v>
      </c>
      <c r="G15" s="35">
        <f>13296305-G13</f>
        <v>13031181</v>
      </c>
      <c r="H15" s="158">
        <f>84899600048/1000</f>
        <v>84899600.047999993</v>
      </c>
      <c r="I15" s="158">
        <f>80582789395/1000</f>
        <v>80582789.394999996</v>
      </c>
    </row>
    <row r="16" spans="1:12" ht="15.75" x14ac:dyDescent="0.25">
      <c r="A16" s="33" t="s">
        <v>56</v>
      </c>
      <c r="B16" s="33"/>
      <c r="C16" s="33"/>
      <c r="D16" s="33"/>
      <c r="E16" s="33"/>
      <c r="F16" s="35">
        <v>0</v>
      </c>
      <c r="G16" s="35">
        <v>0</v>
      </c>
      <c r="H16" s="35">
        <v>0</v>
      </c>
      <c r="I16" s="35">
        <v>0</v>
      </c>
      <c r="L16" s="195"/>
    </row>
    <row r="17" spans="1:13" ht="15.75" x14ac:dyDescent="0.25">
      <c r="A17" s="33" t="s">
        <v>57</v>
      </c>
      <c r="B17" s="33"/>
      <c r="C17" s="33"/>
      <c r="D17" s="33"/>
      <c r="E17" s="33"/>
      <c r="F17" s="35">
        <v>0</v>
      </c>
      <c r="G17" s="35">
        <v>0</v>
      </c>
      <c r="H17" s="35">
        <v>0</v>
      </c>
      <c r="I17" s="35">
        <v>0</v>
      </c>
    </row>
    <row r="18" spans="1:13" ht="15.75" x14ac:dyDescent="0.25">
      <c r="A18" s="33" t="s">
        <v>63</v>
      </c>
      <c r="B18" s="33"/>
      <c r="C18" s="33"/>
      <c r="D18" s="33"/>
      <c r="E18" s="33"/>
      <c r="F18" s="35">
        <v>0</v>
      </c>
      <c r="G18" s="35">
        <v>0</v>
      </c>
      <c r="H18" s="35">
        <v>0</v>
      </c>
      <c r="I18" s="35">
        <v>0</v>
      </c>
    </row>
    <row r="19" spans="1:13" ht="15.75" x14ac:dyDescent="0.25">
      <c r="A19" s="33" t="s">
        <v>64</v>
      </c>
      <c r="B19" s="33"/>
      <c r="C19" s="33"/>
      <c r="D19" s="33"/>
      <c r="E19" s="33"/>
      <c r="F19" s="35">
        <v>0</v>
      </c>
      <c r="G19" s="35">
        <v>0</v>
      </c>
      <c r="H19" s="35">
        <v>0</v>
      </c>
      <c r="I19" s="35">
        <v>0</v>
      </c>
    </row>
    <row r="20" spans="1:13" ht="15.75" x14ac:dyDescent="0.25">
      <c r="A20" s="33" t="s">
        <v>182</v>
      </c>
      <c r="B20" s="33"/>
      <c r="C20" s="33"/>
      <c r="D20" s="33"/>
      <c r="E20" s="33"/>
      <c r="F20" s="35">
        <v>163000</v>
      </c>
      <c r="G20" s="35">
        <v>264000</v>
      </c>
      <c r="H20" s="35">
        <f>282774837/1000</f>
        <v>282774.837</v>
      </c>
      <c r="I20" s="35">
        <f>4628330729/1000</f>
        <v>4628330.7290000003</v>
      </c>
    </row>
    <row r="21" spans="1:13" ht="15.75" x14ac:dyDescent="0.25">
      <c r="A21" s="33" t="s">
        <v>65</v>
      </c>
      <c r="B21" s="33"/>
      <c r="C21" s="33"/>
      <c r="D21" s="33"/>
      <c r="E21" s="33"/>
      <c r="F21" s="35">
        <f>9724000+2159402+3164825</f>
        <v>15048227</v>
      </c>
      <c r="G21" s="35">
        <f>18523247307/1000</f>
        <v>18523247.307</v>
      </c>
      <c r="H21" s="35">
        <f>(1356524015952+27378173725)/1000</f>
        <v>1383902189.677</v>
      </c>
      <c r="I21" s="35">
        <f>(1572661275260+31317074419)/1000</f>
        <v>1603978349.6789999</v>
      </c>
    </row>
    <row r="22" spans="1:13" ht="15.75" x14ac:dyDescent="0.25">
      <c r="A22" s="33" t="s">
        <v>66</v>
      </c>
      <c r="B22" s="33"/>
      <c r="C22" s="33"/>
      <c r="D22" s="33"/>
      <c r="E22" s="33"/>
      <c r="F22" s="35">
        <v>2040</v>
      </c>
      <c r="G22" s="35">
        <v>2040</v>
      </c>
      <c r="H22" s="35">
        <f>331135297879/1000</f>
        <v>331135297.87900001</v>
      </c>
      <c r="I22" s="35">
        <f>255494850743/1000</f>
        <v>255494850.743</v>
      </c>
    </row>
    <row r="23" spans="1:13" ht="15.75" x14ac:dyDescent="0.25">
      <c r="A23" s="33" t="s">
        <v>67</v>
      </c>
      <c r="B23" s="33"/>
      <c r="C23" s="33"/>
      <c r="D23" s="33"/>
      <c r="E23" s="33"/>
      <c r="F23" s="35">
        <f>12866305-F22-9724000</f>
        <v>3140265</v>
      </c>
      <c r="G23" s="35">
        <f>3432112302/1000</f>
        <v>3432112.3020000001</v>
      </c>
      <c r="H23" s="35">
        <f>471485654839/1000</f>
        <v>471485654.83899999</v>
      </c>
      <c r="I23" s="35">
        <f>529096867342/1000</f>
        <v>529096867.34200001</v>
      </c>
    </row>
    <row r="24" spans="1:13" ht="15.75" x14ac:dyDescent="0.25">
      <c r="A24" s="33" t="s">
        <v>68</v>
      </c>
      <c r="B24" s="33"/>
      <c r="C24" s="33"/>
      <c r="D24" s="33"/>
      <c r="E24" s="33"/>
      <c r="F24" s="35">
        <v>0</v>
      </c>
      <c r="G24" s="35">
        <v>0</v>
      </c>
      <c r="H24" s="35">
        <v>0</v>
      </c>
      <c r="I24" s="35">
        <v>0</v>
      </c>
    </row>
    <row r="25" spans="1:13" ht="15.75" x14ac:dyDescent="0.25">
      <c r="A25" s="33" t="s">
        <v>69</v>
      </c>
      <c r="B25" s="33"/>
      <c r="C25" s="33"/>
      <c r="D25" s="33"/>
      <c r="E25" s="33"/>
      <c r="F25" s="35">
        <v>0</v>
      </c>
      <c r="G25" s="35">
        <v>0</v>
      </c>
      <c r="H25" s="35">
        <v>0</v>
      </c>
      <c r="I25" s="35">
        <v>0</v>
      </c>
    </row>
    <row r="26" spans="1:13" ht="15.75" x14ac:dyDescent="0.25">
      <c r="A26" s="33" t="s">
        <v>242</v>
      </c>
      <c r="B26" s="33"/>
      <c r="C26" s="33"/>
      <c r="D26" s="33"/>
      <c r="E26" s="33"/>
      <c r="F26" s="35">
        <v>145599</v>
      </c>
      <c r="G26" s="35">
        <v>149269</v>
      </c>
      <c r="H26" s="35">
        <f>31538690130/1000</f>
        <v>31538690.129999999</v>
      </c>
      <c r="I26" s="35">
        <f>32704651291/1000</f>
        <v>32704651.291000001</v>
      </c>
    </row>
    <row r="27" spans="1:13" ht="15.75" x14ac:dyDescent="0.25">
      <c r="A27" s="33" t="s">
        <v>70</v>
      </c>
      <c r="B27" s="33"/>
      <c r="C27" s="33"/>
      <c r="D27" s="33"/>
      <c r="E27" s="33"/>
      <c r="F27" s="35">
        <v>0</v>
      </c>
      <c r="G27" s="35">
        <v>0</v>
      </c>
      <c r="H27" s="35">
        <v>0</v>
      </c>
      <c r="I27" s="35">
        <v>0</v>
      </c>
    </row>
    <row r="28" spans="1:13" ht="15.75" x14ac:dyDescent="0.25">
      <c r="A28" s="33" t="s">
        <v>71</v>
      </c>
      <c r="B28" s="33"/>
      <c r="C28" s="33"/>
      <c r="D28" s="33"/>
      <c r="E28" s="33"/>
      <c r="F28" s="35">
        <v>0</v>
      </c>
      <c r="G28" s="35"/>
      <c r="H28" s="35">
        <v>0</v>
      </c>
      <c r="I28" s="35">
        <v>0</v>
      </c>
    </row>
    <row r="29" spans="1:13" ht="15.75" x14ac:dyDescent="0.25">
      <c r="A29" s="33" t="s">
        <v>276</v>
      </c>
      <c r="B29" s="33"/>
      <c r="C29" s="33"/>
      <c r="D29" s="33"/>
      <c r="E29" s="33"/>
      <c r="F29" s="35">
        <v>0</v>
      </c>
      <c r="G29" s="35"/>
      <c r="H29" s="35">
        <f>16262101825/1000</f>
        <v>16262101.824999999</v>
      </c>
      <c r="I29" s="35">
        <f>15954893235/1000</f>
        <v>15954893.234999999</v>
      </c>
    </row>
    <row r="30" spans="1:13" ht="15.75" x14ac:dyDescent="0.25">
      <c r="A30" s="33" t="s">
        <v>72</v>
      </c>
      <c r="B30" s="33"/>
      <c r="C30" s="33"/>
      <c r="D30" s="33"/>
      <c r="E30" s="33"/>
      <c r="F30" s="35">
        <v>408854</v>
      </c>
      <c r="G30" s="35">
        <f>28200477/1000</f>
        <v>28200.476999999999</v>
      </c>
      <c r="H30" s="35">
        <f>75438324253/1000</f>
        <v>75438324.253000006</v>
      </c>
      <c r="I30" s="35">
        <f>72743549571/1000</f>
        <v>72743549.570999995</v>
      </c>
    </row>
    <row r="31" spans="1:13" s="14" customFormat="1" ht="15.75" x14ac:dyDescent="0.25">
      <c r="A31" s="32" t="s">
        <v>73</v>
      </c>
      <c r="B31" s="32"/>
      <c r="C31" s="32"/>
      <c r="D31" s="32"/>
      <c r="E31" s="32"/>
      <c r="F31" s="36">
        <f>SUM(F13:F30)</f>
        <v>33451167</v>
      </c>
      <c r="G31" s="36">
        <f>SUM(G13:G30)</f>
        <v>35814292.085999995</v>
      </c>
      <c r="H31" s="36">
        <f>SUM(H13:H30)</f>
        <v>2550845224.7099996</v>
      </c>
      <c r="I31" s="36">
        <f>SUM(I13:I30)</f>
        <v>2744367637.8109999</v>
      </c>
      <c r="J31" s="167"/>
      <c r="K31" s="154"/>
      <c r="L31" s="154"/>
      <c r="M31" s="154"/>
    </row>
    <row r="32" spans="1:13" ht="15.75" x14ac:dyDescent="0.25">
      <c r="A32" s="32" t="s">
        <v>74</v>
      </c>
      <c r="B32" s="33"/>
      <c r="C32" s="33"/>
      <c r="D32" s="33"/>
      <c r="E32" s="33"/>
      <c r="F32" s="35"/>
      <c r="G32" s="35"/>
      <c r="H32" s="35"/>
      <c r="I32" s="35"/>
    </row>
    <row r="33" spans="1:10" ht="15.75" x14ac:dyDescent="0.25">
      <c r="A33" s="33" t="s">
        <v>75</v>
      </c>
      <c r="B33" s="33"/>
      <c r="C33" s="33"/>
      <c r="D33" s="33"/>
      <c r="E33" s="33"/>
      <c r="F33" s="313">
        <v>23173353</v>
      </c>
      <c r="G33" s="313">
        <f>26980503403/1000</f>
        <v>26980503.403000001</v>
      </c>
      <c r="H33" s="313">
        <f>47509768120/1000</f>
        <v>47509768.119999997</v>
      </c>
      <c r="I33" s="313">
        <f>95148977177/1000</f>
        <v>95148977.177000001</v>
      </c>
    </row>
    <row r="34" spans="1:10" ht="15.75" x14ac:dyDescent="0.25">
      <c r="A34" s="33" t="s">
        <v>56</v>
      </c>
      <c r="B34" s="33"/>
      <c r="C34" s="33"/>
      <c r="D34" s="33"/>
      <c r="E34" s="33"/>
      <c r="F34" s="313">
        <v>0</v>
      </c>
      <c r="G34" s="313">
        <v>0</v>
      </c>
      <c r="H34" s="313">
        <v>0</v>
      </c>
      <c r="I34" s="313"/>
    </row>
    <row r="35" spans="1:10" ht="15.75" x14ac:dyDescent="0.25">
      <c r="A35" s="33" t="s">
        <v>57</v>
      </c>
      <c r="B35" s="33"/>
      <c r="C35" s="33"/>
      <c r="D35" s="33"/>
      <c r="E35" s="33"/>
      <c r="F35" s="313">
        <v>0</v>
      </c>
      <c r="G35" s="313">
        <v>0</v>
      </c>
      <c r="H35" s="313">
        <v>0</v>
      </c>
      <c r="I35" s="313"/>
    </row>
    <row r="36" spans="1:10" ht="15.75" x14ac:dyDescent="0.25">
      <c r="A36" s="33" t="s">
        <v>243</v>
      </c>
      <c r="B36" s="33"/>
      <c r="C36" s="33"/>
      <c r="D36" s="33"/>
      <c r="E36" s="33"/>
      <c r="F36" s="313">
        <v>0</v>
      </c>
      <c r="G36" s="313">
        <v>0</v>
      </c>
      <c r="H36" s="313">
        <v>0</v>
      </c>
      <c r="I36" s="313"/>
    </row>
    <row r="37" spans="1:10" ht="15.75" x14ac:dyDescent="0.25">
      <c r="A37" s="33" t="s">
        <v>64</v>
      </c>
      <c r="B37" s="33"/>
      <c r="C37" s="33"/>
      <c r="D37" s="33"/>
      <c r="E37" s="33"/>
      <c r="F37" s="313">
        <v>0</v>
      </c>
      <c r="G37" s="313"/>
      <c r="H37" s="313">
        <v>0</v>
      </c>
      <c r="I37" s="313"/>
    </row>
    <row r="38" spans="1:10" ht="15.75" x14ac:dyDescent="0.25">
      <c r="A38" s="33" t="s">
        <v>142</v>
      </c>
      <c r="B38" s="33"/>
      <c r="C38" s="33"/>
      <c r="D38" s="33"/>
      <c r="E38" s="33"/>
      <c r="F38" s="313">
        <f>812044+1468067</f>
        <v>2280111</v>
      </c>
      <c r="G38" s="313">
        <f>1887562682/1000</f>
        <v>1887562.682</v>
      </c>
      <c r="H38" s="313">
        <f>2108309859709/1000</f>
        <v>2108309859.7090001</v>
      </c>
      <c r="I38" s="313">
        <f>2244939825578/1000</f>
        <v>2244939825.5780001</v>
      </c>
    </row>
    <row r="39" spans="1:10" ht="15.75" x14ac:dyDescent="0.25">
      <c r="A39" s="33" t="s">
        <v>76</v>
      </c>
      <c r="B39" s="33"/>
      <c r="C39" s="33"/>
      <c r="D39" s="33"/>
      <c r="E39" s="33"/>
      <c r="F39" s="313">
        <v>0</v>
      </c>
      <c r="G39" s="313">
        <v>0</v>
      </c>
      <c r="H39" s="313">
        <v>0</v>
      </c>
      <c r="I39" s="313">
        <v>0</v>
      </c>
    </row>
    <row r="40" spans="1:10" ht="15.75" x14ac:dyDescent="0.25">
      <c r="A40" s="33" t="s">
        <v>77</v>
      </c>
      <c r="B40" s="33"/>
      <c r="C40" s="33"/>
      <c r="D40" s="33"/>
      <c r="E40" s="33"/>
      <c r="F40" s="313">
        <v>0</v>
      </c>
      <c r="G40" s="313">
        <v>0</v>
      </c>
      <c r="H40" s="313">
        <v>0</v>
      </c>
      <c r="I40" s="313">
        <v>0</v>
      </c>
    </row>
    <row r="41" spans="1:10" ht="15.75" x14ac:dyDescent="0.25">
      <c r="A41" s="33" t="s">
        <v>78</v>
      </c>
      <c r="B41" s="33"/>
      <c r="C41" s="33"/>
      <c r="D41" s="33"/>
      <c r="E41" s="33"/>
      <c r="F41" s="313">
        <v>56477</v>
      </c>
      <c r="G41" s="313">
        <f>53541499/1000</f>
        <v>53541.499000000003</v>
      </c>
      <c r="H41" s="313">
        <v>0</v>
      </c>
      <c r="I41" s="313">
        <v>0</v>
      </c>
    </row>
    <row r="42" spans="1:10" ht="15.75" x14ac:dyDescent="0.25">
      <c r="A42" s="33" t="s">
        <v>247</v>
      </c>
      <c r="B42" s="33"/>
      <c r="C42" s="33"/>
      <c r="D42" s="33"/>
      <c r="E42" s="33"/>
      <c r="F42" s="313">
        <v>549</v>
      </c>
      <c r="G42" s="313">
        <v>549</v>
      </c>
      <c r="H42" s="313">
        <f>9098489/1000</f>
        <v>9098.4889999999996</v>
      </c>
      <c r="I42" s="313">
        <f>250249/1000</f>
        <v>250.249</v>
      </c>
    </row>
    <row r="43" spans="1:10" ht="15.75" x14ac:dyDescent="0.25">
      <c r="A43" s="33" t="s">
        <v>79</v>
      </c>
      <c r="B43" s="33"/>
      <c r="C43" s="33"/>
      <c r="D43" s="33"/>
      <c r="E43" s="33"/>
      <c r="F43" s="313">
        <v>0</v>
      </c>
      <c r="G43" s="313">
        <f>(29513116)/1000</f>
        <v>29513.116000000002</v>
      </c>
      <c r="H43" s="313">
        <f>75273734/1000</f>
        <v>75273.733999999997</v>
      </c>
      <c r="I43" s="313">
        <f>71280053/1000</f>
        <v>71280.053</v>
      </c>
    </row>
    <row r="44" spans="1:10" ht="15.75" x14ac:dyDescent="0.25">
      <c r="A44" s="33" t="s">
        <v>80</v>
      </c>
      <c r="B44" s="33"/>
      <c r="C44" s="33"/>
      <c r="D44" s="33"/>
      <c r="E44" s="33"/>
      <c r="F44" s="313">
        <f>428107-F41-F42</f>
        <v>371081</v>
      </c>
      <c r="G44" s="313">
        <f>102681792/1000</f>
        <v>102681.792</v>
      </c>
      <c r="H44" s="313">
        <f>248582136247/1000</f>
        <v>248582136.24700001</v>
      </c>
      <c r="I44" s="313">
        <f>247549149684/1000</f>
        <v>247549149.68399999</v>
      </c>
    </row>
    <row r="45" spans="1:10" ht="15.75" x14ac:dyDescent="0.25">
      <c r="A45" s="33" t="s">
        <v>81</v>
      </c>
      <c r="B45" s="33"/>
      <c r="C45" s="33"/>
      <c r="D45" s="33"/>
      <c r="E45" s="33"/>
      <c r="F45" s="313">
        <v>0</v>
      </c>
      <c r="G45" s="313">
        <v>0</v>
      </c>
      <c r="H45" s="313">
        <v>0</v>
      </c>
      <c r="I45" s="313">
        <v>0</v>
      </c>
    </row>
    <row r="46" spans="1:10" ht="15.75" x14ac:dyDescent="0.25">
      <c r="A46" s="33" t="s">
        <v>82</v>
      </c>
      <c r="B46" s="33"/>
      <c r="C46" s="33"/>
      <c r="D46" s="33"/>
      <c r="E46" s="33"/>
      <c r="F46" s="313">
        <v>0</v>
      </c>
      <c r="G46" s="313">
        <v>0</v>
      </c>
      <c r="H46" s="313">
        <v>0</v>
      </c>
      <c r="I46" s="313">
        <v>0</v>
      </c>
    </row>
    <row r="47" spans="1:10" s="14" customFormat="1" ht="15.75" x14ac:dyDescent="0.25">
      <c r="A47" s="32" t="s">
        <v>83</v>
      </c>
      <c r="B47" s="32"/>
      <c r="C47" s="32"/>
      <c r="D47" s="32"/>
      <c r="E47" s="32"/>
      <c r="F47" s="314">
        <f>SUM(F33:F46)</f>
        <v>25881571</v>
      </c>
      <c r="G47" s="314">
        <f>SUM(G33:G46)</f>
        <v>29054351.492000002</v>
      </c>
      <c r="H47" s="314">
        <f>SUM(H33:H46)</f>
        <v>2404486136.2990003</v>
      </c>
      <c r="I47" s="314">
        <f>SUM(I33:I46)</f>
        <v>2587709482.7410002</v>
      </c>
      <c r="J47" s="154"/>
    </row>
    <row r="48" spans="1:10" ht="15.75" x14ac:dyDescent="0.25">
      <c r="A48" s="32" t="s">
        <v>84</v>
      </c>
      <c r="B48" s="33"/>
      <c r="C48" s="33"/>
      <c r="D48" s="33"/>
      <c r="E48" s="33"/>
      <c r="F48" s="35"/>
      <c r="G48" s="35"/>
      <c r="H48" s="35"/>
      <c r="I48" s="35"/>
    </row>
    <row r="49" spans="1:10" ht="15.75" x14ac:dyDescent="0.25">
      <c r="A49" s="33" t="s">
        <v>85</v>
      </c>
      <c r="B49" s="33"/>
      <c r="C49" s="33"/>
      <c r="D49" s="33"/>
      <c r="E49" s="33"/>
      <c r="F49" s="35">
        <f>2632918-F52</f>
        <v>2288494</v>
      </c>
      <c r="G49" s="35">
        <v>2288494</v>
      </c>
      <c r="H49" s="35">
        <f>24547289280/1000</f>
        <v>24547289.280000001</v>
      </c>
      <c r="I49" s="35">
        <f>18072656830/1000</f>
        <v>18072656.829999998</v>
      </c>
    </row>
    <row r="50" spans="1:10" ht="15.75" x14ac:dyDescent="0.25">
      <c r="A50" s="33" t="s">
        <v>86</v>
      </c>
      <c r="B50" s="33"/>
      <c r="C50" s="33"/>
      <c r="D50" s="33"/>
      <c r="E50" s="33"/>
      <c r="F50" s="35">
        <v>221480</v>
      </c>
      <c r="G50" s="35">
        <v>221480</v>
      </c>
      <c r="H50" s="35">
        <f>30621186916/1000</f>
        <v>30621186.916000001</v>
      </c>
      <c r="I50" s="35">
        <f>30621186916/1000</f>
        <v>30621186.916000001</v>
      </c>
    </row>
    <row r="51" spans="1:10" ht="15.75" x14ac:dyDescent="0.25">
      <c r="A51" s="33" t="s">
        <v>87</v>
      </c>
      <c r="B51" s="33"/>
      <c r="C51" s="33"/>
      <c r="D51" s="33"/>
      <c r="E51" s="33"/>
      <c r="F51" s="35">
        <v>4715198</v>
      </c>
      <c r="G51" s="35">
        <v>3905543</v>
      </c>
      <c r="H51" s="35">
        <v>0</v>
      </c>
      <c r="I51" s="35">
        <v>0</v>
      </c>
    </row>
    <row r="52" spans="1:10" ht="15.75" x14ac:dyDescent="0.25">
      <c r="A52" s="33" t="s">
        <v>88</v>
      </c>
      <c r="B52" s="33"/>
      <c r="C52" s="33"/>
      <c r="D52" s="33"/>
      <c r="E52" s="33"/>
      <c r="F52" s="35">
        <f>345999-1575</f>
        <v>344424</v>
      </c>
      <c r="G52" s="35">
        <f>345999-1575</f>
        <v>344424</v>
      </c>
      <c r="H52" s="35">
        <f>+(979557733+90211054482)/1000</f>
        <v>91190612.215000004</v>
      </c>
      <c r="I52" s="35">
        <f>(106984753590+979557733)/1000</f>
        <v>107964311.323</v>
      </c>
    </row>
    <row r="53" spans="1:10" ht="15.75" x14ac:dyDescent="0.25">
      <c r="A53" s="32" t="s">
        <v>89</v>
      </c>
      <c r="B53" s="32"/>
      <c r="C53" s="32"/>
      <c r="D53" s="32"/>
      <c r="E53" s="32"/>
      <c r="F53" s="36">
        <f>SUM(F49:F52)</f>
        <v>7569596</v>
      </c>
      <c r="G53" s="36">
        <f>SUM(G49:G52)</f>
        <v>6759941</v>
      </c>
      <c r="H53" s="36">
        <f t="shared" ref="H53:I53" si="0">SUM(H49:H52)</f>
        <v>146359088.41100001</v>
      </c>
      <c r="I53" s="36">
        <f t="shared" si="0"/>
        <v>156658155.06900001</v>
      </c>
    </row>
    <row r="54" spans="1:10" ht="15.75" x14ac:dyDescent="0.25">
      <c r="A54" s="32" t="s">
        <v>90</v>
      </c>
      <c r="B54" s="32"/>
      <c r="C54" s="32"/>
      <c r="D54" s="32"/>
      <c r="E54" s="32"/>
      <c r="F54" s="36"/>
      <c r="G54" s="36"/>
      <c r="H54" s="36"/>
      <c r="I54" s="36"/>
    </row>
    <row r="55" spans="1:10" s="14" customFormat="1" ht="15.75" x14ac:dyDescent="0.25">
      <c r="A55" s="32" t="s">
        <v>91</v>
      </c>
      <c r="B55" s="32"/>
      <c r="C55" s="32"/>
      <c r="D55" s="32"/>
      <c r="E55" s="32"/>
      <c r="F55" s="36">
        <f>+F54+F53</f>
        <v>7569596</v>
      </c>
      <c r="G55" s="36">
        <f>+G54+G53</f>
        <v>6759941</v>
      </c>
      <c r="H55" s="36">
        <f>+H54+H53</f>
        <v>146359088.41100001</v>
      </c>
      <c r="I55" s="36">
        <f>+I54+I53</f>
        <v>156658155.06900001</v>
      </c>
      <c r="J55" s="154"/>
    </row>
    <row r="56" spans="1:10" s="14" customFormat="1" ht="15.75" x14ac:dyDescent="0.25">
      <c r="A56" s="32" t="s">
        <v>92</v>
      </c>
      <c r="B56" s="32"/>
      <c r="C56" s="32"/>
      <c r="D56" s="32"/>
      <c r="E56" s="32"/>
      <c r="F56" s="36">
        <f>+F55+F47</f>
        <v>33451167</v>
      </c>
      <c r="G56" s="36">
        <f>+G55+G47</f>
        <v>35814292.491999999</v>
      </c>
      <c r="H56" s="36">
        <f>+H55+H47</f>
        <v>2550845224.71</v>
      </c>
      <c r="I56" s="36">
        <f>+I55+I47</f>
        <v>2744367637.8100004</v>
      </c>
      <c r="J56" s="154"/>
    </row>
    <row r="57" spans="1:10" ht="15.75" x14ac:dyDescent="0.25">
      <c r="A57" s="32" t="s">
        <v>93</v>
      </c>
      <c r="B57" s="33"/>
      <c r="C57" s="33"/>
      <c r="D57" s="33"/>
      <c r="E57" s="33"/>
      <c r="F57" s="158">
        <v>1782278</v>
      </c>
      <c r="G57" s="158">
        <v>1388663</v>
      </c>
      <c r="H57" s="35">
        <f>564845066220/1000</f>
        <v>564845066.22000003</v>
      </c>
      <c r="I57" s="35">
        <f>758587352530/1000</f>
        <v>758587352.52999997</v>
      </c>
    </row>
    <row r="58" spans="1:10" ht="15.75" x14ac:dyDescent="0.25">
      <c r="A58" s="32" t="s">
        <v>94</v>
      </c>
      <c r="B58" s="33"/>
      <c r="C58" s="33"/>
      <c r="D58" s="33"/>
      <c r="E58" s="33"/>
      <c r="F58" s="158"/>
      <c r="G58" s="158"/>
      <c r="H58" s="35"/>
      <c r="I58" s="35"/>
    </row>
    <row r="59" spans="1:10" ht="15.75" x14ac:dyDescent="0.25">
      <c r="A59" s="33" t="s">
        <v>95</v>
      </c>
      <c r="B59" s="33"/>
      <c r="C59" s="33"/>
      <c r="D59" s="33"/>
      <c r="E59" s="33"/>
      <c r="F59" s="158">
        <v>24</v>
      </c>
      <c r="G59" s="158">
        <v>27</v>
      </c>
      <c r="H59" s="158">
        <v>32432</v>
      </c>
      <c r="I59" s="35">
        <v>32020</v>
      </c>
    </row>
    <row r="60" spans="1:10" ht="15.75" x14ac:dyDescent="0.25">
      <c r="A60" s="33" t="s">
        <v>96</v>
      </c>
      <c r="B60" s="33"/>
      <c r="C60" s="33"/>
      <c r="D60" s="33"/>
      <c r="E60" s="33"/>
      <c r="F60" s="158">
        <v>2</v>
      </c>
      <c r="G60" s="158">
        <v>2</v>
      </c>
      <c r="H60" s="158">
        <v>3402</v>
      </c>
      <c r="I60" s="35">
        <v>3405</v>
      </c>
    </row>
    <row r="61" spans="1:10" x14ac:dyDescent="0.25">
      <c r="F61" s="13"/>
      <c r="G61" s="13"/>
      <c r="H61" s="13"/>
      <c r="I61" s="13"/>
    </row>
    <row r="62" spans="1:10" ht="15.75" x14ac:dyDescent="0.25">
      <c r="F62" s="12"/>
      <c r="G62" s="19"/>
      <c r="H62" s="19"/>
      <c r="I62" s="19"/>
    </row>
    <row r="63" spans="1:10" ht="15.75" x14ac:dyDescent="0.25">
      <c r="F63" s="12"/>
      <c r="G63" s="19"/>
      <c r="H63" s="19"/>
      <c r="I63" s="19"/>
    </row>
    <row r="64" spans="1:10" ht="15.75" x14ac:dyDescent="0.25">
      <c r="F64" s="12"/>
      <c r="G64" s="19"/>
      <c r="H64" s="19"/>
      <c r="I64" s="19"/>
    </row>
    <row r="65" spans="6:9" ht="15.75" x14ac:dyDescent="0.25">
      <c r="F65" s="12"/>
      <c r="G65" s="19"/>
      <c r="H65" s="19"/>
      <c r="I65" s="19"/>
    </row>
    <row r="66" spans="6:9" x14ac:dyDescent="0.25">
      <c r="F66" s="19"/>
      <c r="G66" s="19"/>
      <c r="H66" s="19"/>
      <c r="I66" s="19"/>
    </row>
    <row r="67" spans="6:9" x14ac:dyDescent="0.25">
      <c r="F67" s="19"/>
      <c r="G67" s="19"/>
      <c r="H67" s="19"/>
      <c r="I67" s="19"/>
    </row>
    <row r="68" spans="6:9" x14ac:dyDescent="0.25">
      <c r="F68" s="19"/>
      <c r="G68" s="19"/>
      <c r="H68" s="19"/>
      <c r="I68" s="19"/>
    </row>
    <row r="69" spans="6:9" x14ac:dyDescent="0.25">
      <c r="F69" s="19"/>
      <c r="G69" s="19"/>
      <c r="H69" s="19"/>
      <c r="I69" s="19"/>
    </row>
    <row r="70" spans="6:9" x14ac:dyDescent="0.25">
      <c r="F70" s="19"/>
      <c r="G70" s="19"/>
      <c r="H70" s="19"/>
      <c r="I70" s="19"/>
    </row>
    <row r="71" spans="6:9" x14ac:dyDescent="0.25">
      <c r="F71" s="19"/>
      <c r="G71" s="19"/>
      <c r="H71" s="19"/>
      <c r="I71" s="19"/>
    </row>
    <row r="72" spans="6:9" x14ac:dyDescent="0.25">
      <c r="F72" s="19"/>
      <c r="G72" s="19"/>
      <c r="H72" s="19"/>
      <c r="I72" s="19"/>
    </row>
    <row r="73" spans="6:9" x14ac:dyDescent="0.25">
      <c r="F73" s="19"/>
      <c r="G73" s="19"/>
      <c r="H73" s="19"/>
      <c r="I73" s="19"/>
    </row>
    <row r="74" spans="6:9" x14ac:dyDescent="0.25">
      <c r="F74" s="19"/>
      <c r="G74" s="19"/>
      <c r="H74" s="19"/>
      <c r="I74" s="19"/>
    </row>
    <row r="75" spans="6:9" x14ac:dyDescent="0.25">
      <c r="F75" s="19"/>
      <c r="G75" s="19"/>
      <c r="H75" s="19"/>
      <c r="I75" s="19"/>
    </row>
  </sheetData>
  <mergeCells count="10">
    <mergeCell ref="A1:I1"/>
    <mergeCell ref="A2:I2"/>
    <mergeCell ref="A4:I4"/>
    <mergeCell ref="I6:I7"/>
    <mergeCell ref="H6:H7"/>
    <mergeCell ref="G6:G7"/>
    <mergeCell ref="F6:F7"/>
    <mergeCell ref="A3:I3"/>
    <mergeCell ref="F5:G5"/>
    <mergeCell ref="H5:I5"/>
  </mergeCells>
  <phoneticPr fontId="0" type="noConversion"/>
  <pageMargins left="0.45" right="0.17" top="0.48" bottom="0.26" header="0.31496062992126" footer="0.17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topLeftCell="F1" workbookViewId="0">
      <selection activeCell="O16" sqref="O16"/>
    </sheetView>
  </sheetViews>
  <sheetFormatPr defaultRowHeight="15" x14ac:dyDescent="0.25"/>
  <cols>
    <col min="1" max="1" width="45.7109375" style="1" customWidth="1"/>
    <col min="2" max="5" width="0" style="1" hidden="1" customWidth="1"/>
    <col min="6" max="6" width="14.7109375" style="1" customWidth="1"/>
    <col min="7" max="7" width="14.28515625" style="1" customWidth="1"/>
    <col min="8" max="8" width="15" style="1" customWidth="1"/>
    <col min="9" max="9" width="14.42578125" style="1" customWidth="1"/>
    <col min="10" max="10" width="15.42578125" style="1" customWidth="1"/>
    <col min="11" max="11" width="16.5703125" style="1" customWidth="1"/>
    <col min="12" max="12" width="14" style="1" bestFit="1" customWidth="1"/>
    <col min="13" max="13" width="15.7109375" style="1" bestFit="1" customWidth="1"/>
    <col min="14" max="14" width="15.7109375" style="1" customWidth="1"/>
    <col min="15" max="15" width="15.7109375" style="1" bestFit="1" customWidth="1"/>
    <col min="16" max="16384" width="9.140625" style="1"/>
  </cols>
  <sheetData>
    <row r="1" spans="1:22" ht="15.75" x14ac:dyDescent="0.25">
      <c r="A1" s="232" t="s">
        <v>39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4"/>
    </row>
    <row r="2" spans="1:22" ht="15.75" x14ac:dyDescent="0.25">
      <c r="A2" s="235" t="s">
        <v>97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7"/>
      <c r="P2" s="80"/>
      <c r="Q2" s="80"/>
      <c r="R2" s="80"/>
      <c r="S2" s="80"/>
      <c r="T2" s="80"/>
      <c r="U2" s="80"/>
      <c r="V2" s="80"/>
    </row>
    <row r="3" spans="1:22" ht="15.75" x14ac:dyDescent="0.25">
      <c r="A3" s="235" t="s">
        <v>289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7"/>
      <c r="P3" s="80"/>
      <c r="Q3" s="80"/>
      <c r="R3" s="80"/>
      <c r="S3" s="80"/>
      <c r="T3" s="80"/>
      <c r="U3" s="80"/>
      <c r="V3" s="80"/>
    </row>
    <row r="4" spans="1:22" ht="15.75" x14ac:dyDescent="0.25">
      <c r="A4" s="238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40"/>
      <c r="P4" s="79"/>
      <c r="Q4" s="79"/>
      <c r="R4" s="79"/>
      <c r="S4" s="79"/>
      <c r="T4" s="79"/>
      <c r="U4" s="79"/>
      <c r="V4" s="79"/>
    </row>
    <row r="5" spans="1:22" ht="37.5" customHeight="1" x14ac:dyDescent="0.25">
      <c r="A5" s="103" t="s">
        <v>34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9"/>
    </row>
    <row r="6" spans="1:22" ht="15.75" x14ac:dyDescent="0.25">
      <c r="A6" s="74"/>
      <c r="B6" s="8"/>
      <c r="C6" s="8"/>
      <c r="D6" s="8"/>
      <c r="E6" s="8"/>
      <c r="F6" s="315" t="s">
        <v>114</v>
      </c>
      <c r="G6" s="316"/>
      <c r="H6" s="317"/>
      <c r="I6" s="315" t="s">
        <v>123</v>
      </c>
      <c r="J6" s="316"/>
      <c r="K6" s="317"/>
      <c r="L6" s="318"/>
      <c r="M6" s="319"/>
      <c r="N6" s="320"/>
      <c r="O6" s="319"/>
    </row>
    <row r="7" spans="1:22" ht="31.5" x14ac:dyDescent="0.25">
      <c r="A7" s="75" t="s">
        <v>284</v>
      </c>
      <c r="B7" s="9"/>
      <c r="C7" s="9"/>
      <c r="D7" s="9"/>
      <c r="E7" s="9"/>
      <c r="F7" s="319" t="s">
        <v>115</v>
      </c>
      <c r="G7" s="319" t="s">
        <v>115</v>
      </c>
      <c r="H7" s="319" t="s">
        <v>119</v>
      </c>
      <c r="I7" s="321" t="s">
        <v>121</v>
      </c>
      <c r="J7" s="321" t="s">
        <v>124</v>
      </c>
      <c r="K7" s="321" t="s">
        <v>126</v>
      </c>
      <c r="L7" s="321" t="s">
        <v>128</v>
      </c>
      <c r="M7" s="321" t="s">
        <v>130</v>
      </c>
      <c r="N7" s="322" t="s">
        <v>244</v>
      </c>
      <c r="O7" s="321" t="s">
        <v>91</v>
      </c>
    </row>
    <row r="8" spans="1:22" ht="15.75" x14ac:dyDescent="0.25">
      <c r="A8" s="76"/>
      <c r="B8" s="9"/>
      <c r="C8" s="9"/>
      <c r="D8" s="9"/>
      <c r="E8" s="9"/>
      <c r="F8" s="321" t="s">
        <v>116</v>
      </c>
      <c r="G8" s="321" t="s">
        <v>118</v>
      </c>
      <c r="H8" s="321" t="s">
        <v>120</v>
      </c>
      <c r="I8" s="321" t="s">
        <v>122</v>
      </c>
      <c r="J8" s="321" t="s">
        <v>125</v>
      </c>
      <c r="K8" s="321" t="s">
        <v>127</v>
      </c>
      <c r="L8" s="321" t="s">
        <v>129</v>
      </c>
      <c r="M8" s="321"/>
      <c r="N8" s="321" t="s">
        <v>131</v>
      </c>
      <c r="O8" s="321"/>
    </row>
    <row r="9" spans="1:22" ht="15.75" x14ac:dyDescent="0.25">
      <c r="A9" s="40"/>
      <c r="B9" s="5"/>
      <c r="C9" s="5"/>
      <c r="D9" s="5"/>
      <c r="E9" s="5"/>
      <c r="F9" s="323" t="s">
        <v>117</v>
      </c>
      <c r="G9" s="323" t="s">
        <v>117</v>
      </c>
      <c r="H9" s="323"/>
      <c r="I9" s="323"/>
      <c r="J9" s="323"/>
      <c r="K9" s="323"/>
      <c r="L9" s="323"/>
      <c r="M9" s="323"/>
      <c r="N9" s="323"/>
      <c r="O9" s="323"/>
    </row>
    <row r="10" spans="1:22" ht="15.75" x14ac:dyDescent="0.25">
      <c r="A10" s="71" t="s">
        <v>277</v>
      </c>
      <c r="B10" s="73"/>
      <c r="C10" s="72"/>
      <c r="D10" s="72"/>
      <c r="E10" s="77"/>
      <c r="F10" s="324">
        <v>0</v>
      </c>
      <c r="G10" s="324">
        <v>0</v>
      </c>
      <c r="H10" s="324">
        <v>2288495</v>
      </c>
      <c r="I10" s="325">
        <v>221480</v>
      </c>
      <c r="J10" s="324">
        <v>0</v>
      </c>
      <c r="K10" s="324">
        <f>3877352+28190802/1000</f>
        <v>3905542.8020000001</v>
      </c>
      <c r="L10" s="324">
        <v>344424</v>
      </c>
      <c r="M10" s="324">
        <v>6759941</v>
      </c>
      <c r="N10" s="324">
        <v>0</v>
      </c>
      <c r="O10" s="324">
        <f>+M10+N10</f>
        <v>6759941</v>
      </c>
    </row>
    <row r="11" spans="1:22" ht="15.75" x14ac:dyDescent="0.25">
      <c r="A11" s="71" t="s">
        <v>98</v>
      </c>
      <c r="B11" s="73"/>
      <c r="C11" s="72"/>
      <c r="D11" s="72"/>
      <c r="E11" s="77"/>
      <c r="F11" s="326"/>
      <c r="G11" s="326"/>
      <c r="H11" s="326"/>
      <c r="I11" s="327"/>
      <c r="J11" s="326"/>
      <c r="K11" s="326"/>
      <c r="L11" s="326"/>
      <c r="M11" s="324"/>
      <c r="N11" s="326"/>
      <c r="O11" s="324"/>
    </row>
    <row r="12" spans="1:22" ht="15.75" x14ac:dyDescent="0.25">
      <c r="A12" s="72"/>
      <c r="B12" s="73"/>
      <c r="C12" s="72"/>
      <c r="D12" s="72"/>
      <c r="E12" s="77"/>
      <c r="F12" s="326"/>
      <c r="G12" s="326"/>
      <c r="H12" s="326"/>
      <c r="I12" s="327"/>
      <c r="J12" s="326"/>
      <c r="K12" s="326"/>
      <c r="L12" s="326"/>
      <c r="M12" s="324"/>
      <c r="N12" s="326"/>
      <c r="O12" s="324"/>
    </row>
    <row r="13" spans="1:22" ht="15.75" x14ac:dyDescent="0.25">
      <c r="A13" s="72" t="s">
        <v>99</v>
      </c>
      <c r="B13" s="73"/>
      <c r="C13" s="72"/>
      <c r="D13" s="72"/>
      <c r="E13" s="77"/>
      <c r="F13" s="326">
        <v>0</v>
      </c>
      <c r="G13" s="326">
        <v>0</v>
      </c>
      <c r="H13" s="326">
        <v>0</v>
      </c>
      <c r="I13" s="327">
        <v>0</v>
      </c>
      <c r="J13" s="326">
        <v>0</v>
      </c>
      <c r="K13" s="326">
        <v>788216</v>
      </c>
      <c r="L13" s="326">
        <v>0</v>
      </c>
      <c r="M13" s="324">
        <f>SUM(F13:L13)</f>
        <v>788216</v>
      </c>
      <c r="N13" s="326">
        <v>0</v>
      </c>
      <c r="O13" s="324">
        <f>+M13+N13</f>
        <v>788216</v>
      </c>
    </row>
    <row r="14" spans="1:22" ht="15.75" x14ac:dyDescent="0.25">
      <c r="A14" s="72" t="s">
        <v>100</v>
      </c>
      <c r="B14" s="73"/>
      <c r="C14" s="72"/>
      <c r="D14" s="72"/>
      <c r="E14" s="77"/>
      <c r="F14" s="326">
        <v>0</v>
      </c>
      <c r="G14" s="326">
        <v>0</v>
      </c>
      <c r="H14" s="326">
        <v>0</v>
      </c>
      <c r="I14" s="327">
        <v>0</v>
      </c>
      <c r="J14" s="326">
        <v>0</v>
      </c>
      <c r="K14" s="326">
        <v>21439</v>
      </c>
      <c r="L14" s="326">
        <v>0</v>
      </c>
      <c r="M14" s="324">
        <f>SUM(F14:L14)</f>
        <v>21439</v>
      </c>
      <c r="N14" s="326">
        <v>0</v>
      </c>
      <c r="O14" s="324">
        <f t="shared" ref="O14:O30" si="0">+M14+N14</f>
        <v>21439</v>
      </c>
    </row>
    <row r="15" spans="1:22" ht="15.75" x14ac:dyDescent="0.25">
      <c r="A15" s="32" t="s">
        <v>98</v>
      </c>
      <c r="B15" s="3"/>
      <c r="C15" s="3"/>
      <c r="D15" s="3"/>
      <c r="E15" s="3"/>
      <c r="F15" s="314">
        <f t="shared" ref="F15:G15" si="1">F10+F13+F14</f>
        <v>0</v>
      </c>
      <c r="G15" s="314">
        <f t="shared" si="1"/>
        <v>0</v>
      </c>
      <c r="H15" s="314">
        <f>H10+H13+H14</f>
        <v>2288495</v>
      </c>
      <c r="I15" s="314">
        <f t="shared" ref="I15:N15" si="2">I10+I13+I14</f>
        <v>221480</v>
      </c>
      <c r="J15" s="314">
        <f t="shared" si="2"/>
        <v>0</v>
      </c>
      <c r="K15" s="314">
        <f t="shared" si="2"/>
        <v>4715197.8020000001</v>
      </c>
      <c r="L15" s="314">
        <f t="shared" si="2"/>
        <v>344424</v>
      </c>
      <c r="M15" s="314">
        <f t="shared" si="2"/>
        <v>7569596</v>
      </c>
      <c r="N15" s="314">
        <f t="shared" si="2"/>
        <v>0</v>
      </c>
      <c r="O15" s="324">
        <f t="shared" si="0"/>
        <v>7569596</v>
      </c>
    </row>
    <row r="16" spans="1:22" ht="15.75" x14ac:dyDescent="0.25">
      <c r="A16" s="10"/>
      <c r="B16" s="3"/>
      <c r="C16" s="3"/>
      <c r="D16" s="3"/>
      <c r="E16" s="3"/>
      <c r="F16" s="313"/>
      <c r="G16" s="313"/>
      <c r="H16" s="313"/>
      <c r="I16" s="313"/>
      <c r="J16" s="313"/>
      <c r="K16" s="313"/>
      <c r="L16" s="313"/>
      <c r="M16" s="314"/>
      <c r="N16" s="313"/>
      <c r="O16" s="324"/>
    </row>
    <row r="17" spans="1:15" ht="15.75" x14ac:dyDescent="0.25">
      <c r="A17" s="32" t="s">
        <v>101</v>
      </c>
      <c r="B17" s="3"/>
      <c r="C17" s="3"/>
      <c r="D17" s="3"/>
      <c r="E17" s="3"/>
      <c r="F17" s="313"/>
      <c r="G17" s="313"/>
      <c r="H17" s="313"/>
      <c r="I17" s="328"/>
      <c r="J17" s="313"/>
      <c r="K17" s="313"/>
      <c r="L17" s="313"/>
      <c r="M17" s="314"/>
      <c r="N17" s="313"/>
      <c r="O17" s="324"/>
    </row>
    <row r="18" spans="1:15" ht="15.75" x14ac:dyDescent="0.25">
      <c r="A18" s="32" t="s">
        <v>102</v>
      </c>
      <c r="B18" s="3"/>
      <c r="C18" s="3"/>
      <c r="D18" s="3"/>
      <c r="E18" s="3"/>
      <c r="F18" s="313"/>
      <c r="G18" s="313"/>
      <c r="H18" s="313"/>
      <c r="I18" s="328"/>
      <c r="J18" s="313"/>
      <c r="K18" s="313"/>
      <c r="L18" s="313"/>
      <c r="M18" s="314"/>
      <c r="N18" s="313"/>
      <c r="O18" s="324"/>
    </row>
    <row r="19" spans="1:15" ht="15.75" x14ac:dyDescent="0.25">
      <c r="A19" s="33" t="s">
        <v>103</v>
      </c>
      <c r="B19" s="3"/>
      <c r="C19" s="3"/>
      <c r="D19" s="3"/>
      <c r="E19" s="3"/>
      <c r="F19" s="313">
        <v>0</v>
      </c>
      <c r="G19" s="313">
        <v>0</v>
      </c>
      <c r="H19" s="313">
        <v>0</v>
      </c>
      <c r="I19" s="328">
        <v>0</v>
      </c>
      <c r="J19" s="313">
        <v>0</v>
      </c>
      <c r="K19" s="313">
        <v>0</v>
      </c>
      <c r="L19" s="313">
        <v>0</v>
      </c>
      <c r="M19" s="314">
        <v>0</v>
      </c>
      <c r="N19" s="313">
        <v>0</v>
      </c>
      <c r="O19" s="324">
        <f t="shared" si="0"/>
        <v>0</v>
      </c>
    </row>
    <row r="20" spans="1:15" ht="15.75" x14ac:dyDescent="0.25">
      <c r="A20" s="32" t="s">
        <v>104</v>
      </c>
      <c r="B20" s="3"/>
      <c r="C20" s="3"/>
      <c r="D20" s="3"/>
      <c r="E20" s="3"/>
      <c r="F20" s="313"/>
      <c r="G20" s="313"/>
      <c r="H20" s="313"/>
      <c r="I20" s="328"/>
      <c r="J20" s="313"/>
      <c r="K20" s="313"/>
      <c r="L20" s="313"/>
      <c r="M20" s="314"/>
      <c r="N20" s="313"/>
      <c r="O20" s="324">
        <f t="shared" si="0"/>
        <v>0</v>
      </c>
    </row>
    <row r="21" spans="1:15" ht="15.75" x14ac:dyDescent="0.25">
      <c r="A21" s="33" t="s">
        <v>105</v>
      </c>
      <c r="B21" s="3"/>
      <c r="C21" s="3"/>
      <c r="D21" s="3"/>
      <c r="E21" s="3"/>
      <c r="F21" s="313">
        <v>0</v>
      </c>
      <c r="G21" s="313">
        <v>0</v>
      </c>
      <c r="H21" s="313">
        <v>0</v>
      </c>
      <c r="I21" s="328">
        <v>0</v>
      </c>
      <c r="J21" s="313">
        <v>0</v>
      </c>
      <c r="K21" s="313">
        <v>0</v>
      </c>
      <c r="L21" s="313">
        <v>0</v>
      </c>
      <c r="M21" s="314">
        <v>0</v>
      </c>
      <c r="N21" s="313">
        <v>0</v>
      </c>
      <c r="O21" s="324">
        <f t="shared" si="0"/>
        <v>0</v>
      </c>
    </row>
    <row r="22" spans="1:15" ht="15.75" x14ac:dyDescent="0.25">
      <c r="A22" s="33" t="s">
        <v>106</v>
      </c>
      <c r="B22" s="3"/>
      <c r="C22" s="3"/>
      <c r="D22" s="3"/>
      <c r="E22" s="3"/>
      <c r="F22" s="313">
        <v>0</v>
      </c>
      <c r="G22" s="313">
        <v>0</v>
      </c>
      <c r="H22" s="313">
        <v>0</v>
      </c>
      <c r="I22" s="328">
        <v>0</v>
      </c>
      <c r="J22" s="313">
        <v>0</v>
      </c>
      <c r="K22" s="313">
        <v>0</v>
      </c>
      <c r="L22" s="313">
        <v>0</v>
      </c>
      <c r="M22" s="314">
        <v>0</v>
      </c>
      <c r="N22" s="313">
        <v>0</v>
      </c>
      <c r="O22" s="324">
        <f t="shared" si="0"/>
        <v>0</v>
      </c>
    </row>
    <row r="23" spans="1:15" ht="15.75" x14ac:dyDescent="0.25">
      <c r="A23" s="33" t="s">
        <v>107</v>
      </c>
      <c r="B23" s="3"/>
      <c r="C23" s="3"/>
      <c r="D23" s="3"/>
      <c r="E23" s="3"/>
      <c r="F23" s="313">
        <v>0</v>
      </c>
      <c r="G23" s="313">
        <v>0</v>
      </c>
      <c r="H23" s="313">
        <v>0</v>
      </c>
      <c r="I23" s="328">
        <v>0</v>
      </c>
      <c r="J23" s="313">
        <v>0</v>
      </c>
      <c r="K23" s="313">
        <v>0</v>
      </c>
      <c r="L23" s="313">
        <v>0</v>
      </c>
      <c r="M23" s="314">
        <v>0</v>
      </c>
      <c r="N23" s="313">
        <v>0</v>
      </c>
      <c r="O23" s="324">
        <f t="shared" si="0"/>
        <v>0</v>
      </c>
    </row>
    <row r="24" spans="1:15" ht="15.75" x14ac:dyDescent="0.25">
      <c r="A24" s="33" t="s">
        <v>108</v>
      </c>
      <c r="B24" s="3"/>
      <c r="C24" s="3"/>
      <c r="D24" s="3"/>
      <c r="E24" s="3"/>
      <c r="F24" s="313">
        <v>0</v>
      </c>
      <c r="G24" s="313">
        <v>0</v>
      </c>
      <c r="H24" s="313">
        <v>0</v>
      </c>
      <c r="I24" s="328">
        <v>0</v>
      </c>
      <c r="J24" s="313">
        <v>0</v>
      </c>
      <c r="K24" s="313">
        <v>0</v>
      </c>
      <c r="L24" s="313">
        <v>0</v>
      </c>
      <c r="M24" s="314">
        <v>0</v>
      </c>
      <c r="N24" s="313">
        <v>0</v>
      </c>
      <c r="O24" s="324">
        <f t="shared" si="0"/>
        <v>0</v>
      </c>
    </row>
    <row r="25" spans="1:15" ht="15.75" x14ac:dyDescent="0.25">
      <c r="A25" s="33" t="s">
        <v>109</v>
      </c>
      <c r="B25" s="3"/>
      <c r="C25" s="3"/>
      <c r="D25" s="3"/>
      <c r="E25" s="3"/>
      <c r="F25" s="313">
        <v>0</v>
      </c>
      <c r="G25" s="313">
        <v>0</v>
      </c>
      <c r="H25" s="313">
        <v>0</v>
      </c>
      <c r="I25" s="328">
        <v>0</v>
      </c>
      <c r="J25" s="313">
        <v>0</v>
      </c>
      <c r="K25" s="313">
        <v>0</v>
      </c>
      <c r="L25" s="313">
        <v>0</v>
      </c>
      <c r="M25" s="314">
        <v>0</v>
      </c>
      <c r="N25" s="313">
        <v>0</v>
      </c>
      <c r="O25" s="324">
        <f t="shared" si="0"/>
        <v>0</v>
      </c>
    </row>
    <row r="26" spans="1:15" ht="15.75" x14ac:dyDescent="0.25">
      <c r="A26" s="33" t="s">
        <v>110</v>
      </c>
      <c r="B26" s="3"/>
      <c r="C26" s="3"/>
      <c r="D26" s="3"/>
      <c r="E26" s="3"/>
      <c r="F26" s="313">
        <v>0</v>
      </c>
      <c r="G26" s="313">
        <v>0</v>
      </c>
      <c r="H26" s="313">
        <v>0</v>
      </c>
      <c r="I26" s="328">
        <v>0</v>
      </c>
      <c r="J26" s="313">
        <v>0</v>
      </c>
      <c r="K26" s="313">
        <v>0</v>
      </c>
      <c r="L26" s="313">
        <v>0</v>
      </c>
      <c r="M26" s="314">
        <v>0</v>
      </c>
      <c r="N26" s="313">
        <v>0</v>
      </c>
      <c r="O26" s="324">
        <f t="shared" si="0"/>
        <v>0</v>
      </c>
    </row>
    <row r="27" spans="1:15" ht="15.75" x14ac:dyDescent="0.25">
      <c r="A27" s="33" t="s">
        <v>111</v>
      </c>
      <c r="B27" s="3"/>
      <c r="C27" s="3"/>
      <c r="D27" s="3"/>
      <c r="E27" s="3"/>
      <c r="F27" s="313"/>
      <c r="G27" s="313"/>
      <c r="H27" s="313"/>
      <c r="I27" s="328"/>
      <c r="J27" s="313"/>
      <c r="K27" s="313"/>
      <c r="L27" s="313"/>
      <c r="M27" s="314"/>
      <c r="N27" s="313"/>
      <c r="O27" s="324"/>
    </row>
    <row r="28" spans="1:15" ht="15.75" x14ac:dyDescent="0.25">
      <c r="A28" s="11" t="s">
        <v>112</v>
      </c>
      <c r="B28" s="3"/>
      <c r="C28" s="3"/>
      <c r="D28" s="3"/>
      <c r="E28" s="3"/>
      <c r="F28" s="313">
        <v>0</v>
      </c>
      <c r="G28" s="313">
        <v>0</v>
      </c>
      <c r="H28" s="313">
        <v>0</v>
      </c>
      <c r="I28" s="328">
        <v>0</v>
      </c>
      <c r="J28" s="313">
        <v>0</v>
      </c>
      <c r="K28" s="313">
        <v>0</v>
      </c>
      <c r="L28" s="313">
        <v>0</v>
      </c>
      <c r="M28" s="314">
        <v>0</v>
      </c>
      <c r="N28" s="313">
        <v>0</v>
      </c>
      <c r="O28" s="324">
        <f t="shared" si="0"/>
        <v>0</v>
      </c>
    </row>
    <row r="29" spans="1:15" ht="15.75" x14ac:dyDescent="0.25">
      <c r="A29" s="32" t="s">
        <v>113</v>
      </c>
      <c r="B29" s="33"/>
      <c r="C29" s="33"/>
      <c r="D29" s="33"/>
      <c r="E29" s="33"/>
      <c r="F29" s="313"/>
      <c r="G29" s="313"/>
      <c r="H29" s="313"/>
      <c r="I29" s="313"/>
      <c r="J29" s="313"/>
      <c r="K29" s="313"/>
      <c r="L29" s="313"/>
      <c r="M29" s="314"/>
      <c r="N29" s="313"/>
      <c r="O29" s="324">
        <f t="shared" si="0"/>
        <v>0</v>
      </c>
    </row>
    <row r="30" spans="1:15" ht="15.75" x14ac:dyDescent="0.25">
      <c r="A30" s="32" t="s">
        <v>293</v>
      </c>
      <c r="B30" s="33"/>
      <c r="C30" s="33"/>
      <c r="D30" s="33"/>
      <c r="E30" s="33"/>
      <c r="F30" s="314">
        <f>+F15</f>
        <v>0</v>
      </c>
      <c r="G30" s="314">
        <f>+G15</f>
        <v>0</v>
      </c>
      <c r="H30" s="314">
        <f>SUM(H15:H29)</f>
        <v>2288495</v>
      </c>
      <c r="I30" s="314">
        <f t="shared" ref="I30:N30" si="3">SUM(I15:I29)</f>
        <v>221480</v>
      </c>
      <c r="J30" s="314">
        <f t="shared" si="3"/>
        <v>0</v>
      </c>
      <c r="K30" s="314">
        <f>SUM(K15:K29)</f>
        <v>4715197.8020000001</v>
      </c>
      <c r="L30" s="314">
        <f t="shared" si="3"/>
        <v>344424</v>
      </c>
      <c r="M30" s="314">
        <f>SUM(M15:M29)</f>
        <v>7569596</v>
      </c>
      <c r="N30" s="314">
        <f t="shared" si="3"/>
        <v>0</v>
      </c>
      <c r="O30" s="324">
        <f t="shared" si="0"/>
        <v>7569596</v>
      </c>
    </row>
    <row r="31" spans="1:15" s="81" customFormat="1" ht="15.75" x14ac:dyDescent="0.25">
      <c r="A31" s="75"/>
      <c r="B31" s="76"/>
      <c r="C31" s="76"/>
      <c r="D31" s="76"/>
      <c r="E31" s="76"/>
      <c r="F31" s="329"/>
      <c r="G31" s="329"/>
      <c r="H31" s="329"/>
      <c r="I31" s="329"/>
      <c r="J31" s="329"/>
      <c r="K31" s="329"/>
      <c r="L31" s="329"/>
      <c r="M31" s="329"/>
      <c r="N31" s="329"/>
      <c r="O31" s="329"/>
    </row>
    <row r="32" spans="1:15" s="81" customFormat="1" ht="15.75" x14ac:dyDescent="0.25">
      <c r="A32" s="75"/>
      <c r="B32" s="76"/>
      <c r="C32" s="76"/>
      <c r="D32" s="76"/>
      <c r="E32" s="76"/>
      <c r="F32" s="329"/>
      <c r="G32" s="329"/>
      <c r="H32" s="329"/>
      <c r="I32" s="329"/>
      <c r="J32" s="329"/>
      <c r="K32" s="329"/>
      <c r="L32" s="329"/>
      <c r="M32" s="329"/>
      <c r="N32" s="329"/>
      <c r="O32" s="329"/>
    </row>
    <row r="33" spans="1:15" s="81" customFormat="1" x14ac:dyDescent="0.25">
      <c r="F33" s="330"/>
      <c r="G33" s="330"/>
      <c r="H33" s="330"/>
      <c r="I33" s="330"/>
      <c r="J33" s="330"/>
      <c r="K33" s="330"/>
      <c r="L33" s="330"/>
      <c r="M33" s="330"/>
      <c r="N33" s="330"/>
      <c r="O33" s="330"/>
    </row>
    <row r="34" spans="1:15" ht="15.75" x14ac:dyDescent="0.25">
      <c r="A34" s="253" t="s">
        <v>183</v>
      </c>
      <c r="B34" s="78"/>
      <c r="C34" s="78"/>
      <c r="D34" s="78"/>
      <c r="E34" s="78"/>
      <c r="F34" s="331"/>
      <c r="G34" s="331"/>
      <c r="H34" s="331"/>
      <c r="I34" s="331"/>
      <c r="J34" s="331"/>
      <c r="K34" s="331"/>
      <c r="L34" s="331"/>
      <c r="M34" s="331"/>
      <c r="N34" s="331"/>
      <c r="O34" s="331"/>
    </row>
    <row r="35" spans="1:15" ht="22.5" customHeight="1" x14ac:dyDescent="0.25">
      <c r="A35" s="254"/>
      <c r="B35" s="37"/>
      <c r="C35" s="37"/>
      <c r="D35" s="37"/>
      <c r="E35" s="37"/>
      <c r="F35" s="332"/>
      <c r="G35" s="332"/>
      <c r="H35" s="332"/>
      <c r="I35" s="332"/>
      <c r="J35" s="332"/>
      <c r="K35" s="332"/>
      <c r="L35" s="332"/>
      <c r="M35" s="332"/>
      <c r="N35" s="332"/>
      <c r="O35" s="332"/>
    </row>
    <row r="36" spans="1:15" ht="15.75" x14ac:dyDescent="0.25">
      <c r="A36" s="74"/>
      <c r="B36" s="8"/>
      <c r="C36" s="8"/>
      <c r="D36" s="8"/>
      <c r="E36" s="8"/>
      <c r="F36" s="333" t="s">
        <v>114</v>
      </c>
      <c r="G36" s="334"/>
      <c r="H36" s="335"/>
      <c r="I36" s="333" t="s">
        <v>123</v>
      </c>
      <c r="J36" s="334"/>
      <c r="K36" s="335"/>
      <c r="L36" s="318"/>
      <c r="M36" s="319"/>
      <c r="N36" s="320"/>
      <c r="O36" s="319"/>
    </row>
    <row r="37" spans="1:15" ht="31.5" x14ac:dyDescent="0.25">
      <c r="A37" s="75" t="s">
        <v>285</v>
      </c>
      <c r="B37" s="9"/>
      <c r="C37" s="9"/>
      <c r="D37" s="9"/>
      <c r="E37" s="9"/>
      <c r="F37" s="319" t="s">
        <v>115</v>
      </c>
      <c r="G37" s="319" t="s">
        <v>115</v>
      </c>
      <c r="H37" s="319" t="s">
        <v>119</v>
      </c>
      <c r="I37" s="321" t="s">
        <v>121</v>
      </c>
      <c r="J37" s="321" t="s">
        <v>124</v>
      </c>
      <c r="K37" s="321" t="s">
        <v>126</v>
      </c>
      <c r="L37" s="321" t="s">
        <v>128</v>
      </c>
      <c r="M37" s="321" t="s">
        <v>130</v>
      </c>
      <c r="N37" s="322" t="s">
        <v>244</v>
      </c>
      <c r="O37" s="321" t="s">
        <v>91</v>
      </c>
    </row>
    <row r="38" spans="1:15" ht="15.75" x14ac:dyDescent="0.25">
      <c r="A38" s="76"/>
      <c r="B38" s="9"/>
      <c r="C38" s="9"/>
      <c r="D38" s="9"/>
      <c r="E38" s="9"/>
      <c r="F38" s="321" t="s">
        <v>116</v>
      </c>
      <c r="G38" s="321" t="s">
        <v>118</v>
      </c>
      <c r="H38" s="321" t="s">
        <v>120</v>
      </c>
      <c r="I38" s="321" t="s">
        <v>122</v>
      </c>
      <c r="J38" s="321" t="s">
        <v>125</v>
      </c>
      <c r="K38" s="321" t="s">
        <v>127</v>
      </c>
      <c r="L38" s="321" t="s">
        <v>129</v>
      </c>
      <c r="M38" s="321"/>
      <c r="N38" s="321" t="s">
        <v>131</v>
      </c>
      <c r="O38" s="321"/>
    </row>
    <row r="39" spans="1:15" ht="15.75" x14ac:dyDescent="0.25">
      <c r="A39" s="40"/>
      <c r="B39" s="5"/>
      <c r="C39" s="5"/>
      <c r="D39" s="5"/>
      <c r="E39" s="5"/>
      <c r="F39" s="323" t="s">
        <v>117</v>
      </c>
      <c r="G39" s="323" t="s">
        <v>117</v>
      </c>
      <c r="H39" s="323"/>
      <c r="I39" s="323"/>
      <c r="J39" s="323"/>
      <c r="K39" s="323"/>
      <c r="L39" s="323"/>
      <c r="M39" s="323"/>
      <c r="N39" s="323"/>
      <c r="O39" s="323"/>
    </row>
    <row r="40" spans="1:15" s="14" customFormat="1" ht="15.75" x14ac:dyDescent="0.25">
      <c r="A40" s="32" t="s">
        <v>277</v>
      </c>
      <c r="B40" s="32"/>
      <c r="C40" s="32"/>
      <c r="D40" s="32"/>
      <c r="E40" s="32"/>
      <c r="F40" s="314">
        <v>18072657</v>
      </c>
      <c r="G40" s="314">
        <v>0</v>
      </c>
      <c r="H40" s="314">
        <v>0</v>
      </c>
      <c r="I40" s="314">
        <v>30621187</v>
      </c>
      <c r="J40" s="314">
        <v>24116103</v>
      </c>
      <c r="K40" s="314">
        <v>-34235850</v>
      </c>
      <c r="L40" s="314">
        <v>118084059</v>
      </c>
      <c r="M40" s="314">
        <v>156658155</v>
      </c>
      <c r="N40" s="314">
        <v>0</v>
      </c>
      <c r="O40" s="314">
        <v>156658155</v>
      </c>
    </row>
    <row r="41" spans="1:15" s="14" customFormat="1" ht="15.75" x14ac:dyDescent="0.25">
      <c r="A41" s="32" t="s">
        <v>98</v>
      </c>
      <c r="B41" s="32"/>
      <c r="C41" s="32"/>
      <c r="D41" s="32"/>
      <c r="E41" s="32"/>
      <c r="F41" s="314"/>
      <c r="G41" s="314"/>
      <c r="H41" s="314"/>
      <c r="I41" s="314"/>
      <c r="J41" s="314"/>
      <c r="K41" s="314"/>
      <c r="L41" s="314"/>
      <c r="M41" s="314"/>
      <c r="N41" s="314"/>
      <c r="O41" s="314"/>
    </row>
    <row r="42" spans="1:15" ht="15.75" x14ac:dyDescent="0.25">
      <c r="A42" s="33"/>
      <c r="B42" s="33"/>
      <c r="C42" s="33"/>
      <c r="D42" s="33"/>
      <c r="E42" s="33"/>
      <c r="F42" s="313"/>
      <c r="G42" s="313"/>
      <c r="H42" s="313"/>
      <c r="I42" s="313"/>
      <c r="J42" s="313"/>
      <c r="K42" s="313"/>
      <c r="L42" s="313"/>
      <c r="M42" s="314">
        <f>SUM(F42:L42)</f>
        <v>0</v>
      </c>
      <c r="N42" s="313"/>
      <c r="O42" s="313">
        <f>+N42+M42</f>
        <v>0</v>
      </c>
    </row>
    <row r="43" spans="1:15" ht="15.75" x14ac:dyDescent="0.25">
      <c r="A43" s="33" t="s">
        <v>99</v>
      </c>
      <c r="B43" s="33"/>
      <c r="C43" s="33"/>
      <c r="D43" s="33"/>
      <c r="E43" s="33"/>
      <c r="F43" s="313">
        <v>0</v>
      </c>
      <c r="G43" s="313">
        <v>0</v>
      </c>
      <c r="H43" s="313">
        <v>0</v>
      </c>
      <c r="I43" s="313">
        <v>0</v>
      </c>
      <c r="J43" s="313">
        <v>0</v>
      </c>
      <c r="K43" s="313">
        <v>-27700744</v>
      </c>
      <c r="L43" s="313"/>
      <c r="M43" s="314">
        <f>SUM(F43:L43)</f>
        <v>-27700744</v>
      </c>
      <c r="N43" s="313"/>
      <c r="O43" s="313">
        <f>+N43+M43</f>
        <v>-27700744</v>
      </c>
    </row>
    <row r="44" spans="1:15" ht="15.75" x14ac:dyDescent="0.25">
      <c r="A44" s="33" t="s">
        <v>100</v>
      </c>
      <c r="B44" s="33"/>
      <c r="C44" s="33"/>
      <c r="D44" s="33"/>
      <c r="E44" s="33"/>
      <c r="F44" s="313"/>
      <c r="G44" s="313"/>
      <c r="H44" s="313"/>
      <c r="I44" s="313"/>
      <c r="J44" s="313"/>
      <c r="K44" s="313">
        <v>0</v>
      </c>
      <c r="L44" s="313"/>
      <c r="M44" s="314">
        <f>SUM(F44:L44)</f>
        <v>0</v>
      </c>
      <c r="N44" s="313"/>
      <c r="O44" s="313">
        <f>+N44+M44</f>
        <v>0</v>
      </c>
    </row>
    <row r="45" spans="1:15" s="14" customFormat="1" ht="15.75" x14ac:dyDescent="0.25">
      <c r="A45" s="32" t="s">
        <v>98</v>
      </c>
      <c r="B45" s="32"/>
      <c r="C45" s="32"/>
      <c r="D45" s="32"/>
      <c r="E45" s="32"/>
      <c r="F45" s="314">
        <f>F40</f>
        <v>18072657</v>
      </c>
      <c r="G45" s="314">
        <f>+G41+G43+G44</f>
        <v>0</v>
      </c>
      <c r="H45" s="314">
        <f>+H41+H43+H44</f>
        <v>0</v>
      </c>
      <c r="I45" s="314">
        <f>I40</f>
        <v>30621187</v>
      </c>
      <c r="J45" s="314">
        <f>J40</f>
        <v>24116103</v>
      </c>
      <c r="K45" s="314">
        <f>SUM(K40:K44)</f>
        <v>-61936594</v>
      </c>
      <c r="L45" s="314">
        <f>L40</f>
        <v>118084059</v>
      </c>
      <c r="M45" s="314">
        <f>SUM(F45:L45)</f>
        <v>128957412</v>
      </c>
      <c r="N45" s="314">
        <f>+N41+N43+N44</f>
        <v>0</v>
      </c>
      <c r="O45" s="314">
        <f>+N45+M45</f>
        <v>128957412</v>
      </c>
    </row>
    <row r="46" spans="1:15" ht="15.75" x14ac:dyDescent="0.25">
      <c r="A46" s="33"/>
      <c r="B46" s="33"/>
      <c r="C46" s="33"/>
      <c r="D46" s="33"/>
      <c r="E46" s="33"/>
      <c r="F46" s="313"/>
      <c r="G46" s="313"/>
      <c r="H46" s="313"/>
      <c r="I46" s="313"/>
      <c r="J46" s="313"/>
      <c r="K46" s="313"/>
      <c r="L46" s="313"/>
      <c r="M46" s="313"/>
      <c r="N46" s="313"/>
      <c r="O46" s="313"/>
    </row>
    <row r="47" spans="1:15" s="14" customFormat="1" ht="15.75" x14ac:dyDescent="0.25">
      <c r="A47" s="32" t="s">
        <v>101</v>
      </c>
      <c r="B47" s="32"/>
      <c r="C47" s="32"/>
      <c r="D47" s="32"/>
      <c r="E47" s="32"/>
      <c r="F47" s="314"/>
      <c r="G47" s="314"/>
      <c r="H47" s="314"/>
      <c r="I47" s="314"/>
      <c r="J47" s="314"/>
      <c r="K47" s="314"/>
      <c r="L47" s="314"/>
      <c r="M47" s="314"/>
      <c r="N47" s="314"/>
      <c r="O47" s="314"/>
    </row>
    <row r="48" spans="1:15" s="14" customFormat="1" ht="15.75" x14ac:dyDescent="0.25">
      <c r="A48" s="32" t="s">
        <v>102</v>
      </c>
      <c r="B48" s="32"/>
      <c r="C48" s="32"/>
      <c r="D48" s="32"/>
      <c r="E48" s="32"/>
      <c r="F48" s="314"/>
      <c r="G48" s="314"/>
      <c r="H48" s="314"/>
      <c r="I48" s="314"/>
      <c r="J48" s="314"/>
      <c r="K48" s="314"/>
      <c r="L48" s="314"/>
      <c r="M48" s="314"/>
      <c r="N48" s="314"/>
      <c r="O48" s="314"/>
    </row>
    <row r="49" spans="1:16" ht="15.75" x14ac:dyDescent="0.25">
      <c r="A49" s="33" t="s">
        <v>103</v>
      </c>
      <c r="B49" s="33"/>
      <c r="C49" s="33"/>
      <c r="D49" s="33"/>
      <c r="E49" s="33"/>
      <c r="F49" s="313">
        <v>6474632</v>
      </c>
      <c r="G49" s="313"/>
      <c r="H49" s="313"/>
      <c r="I49" s="313"/>
      <c r="J49" s="313"/>
      <c r="K49" s="313"/>
      <c r="L49" s="313"/>
      <c r="M49" s="313">
        <f>SUM(F49:L49)</f>
        <v>6474632</v>
      </c>
      <c r="N49" s="313"/>
      <c r="O49" s="313">
        <f>+N49+M49</f>
        <v>6474632</v>
      </c>
    </row>
    <row r="50" spans="1:16" s="15" customFormat="1" ht="15.75" x14ac:dyDescent="0.25">
      <c r="A50" s="33" t="s">
        <v>104</v>
      </c>
      <c r="B50" s="33"/>
      <c r="C50" s="33"/>
      <c r="D50" s="33"/>
      <c r="E50" s="33"/>
      <c r="F50" s="313"/>
      <c r="G50" s="313"/>
      <c r="H50" s="313"/>
      <c r="I50" s="313"/>
      <c r="J50" s="313"/>
      <c r="K50" s="313"/>
      <c r="L50" s="313"/>
      <c r="M50" s="313"/>
      <c r="N50" s="313"/>
      <c r="O50" s="313"/>
    </row>
    <row r="51" spans="1:16" ht="15.75" x14ac:dyDescent="0.25">
      <c r="A51" s="33" t="s">
        <v>105</v>
      </c>
      <c r="B51" s="33"/>
      <c r="C51" s="33"/>
      <c r="D51" s="33"/>
      <c r="E51" s="33"/>
      <c r="F51" s="313"/>
      <c r="G51" s="313"/>
      <c r="H51" s="313"/>
      <c r="I51" s="313"/>
      <c r="J51" s="313"/>
      <c r="K51" s="313"/>
      <c r="L51" s="313"/>
      <c r="M51" s="313"/>
      <c r="N51" s="313"/>
      <c r="O51" s="313"/>
    </row>
    <row r="52" spans="1:16" ht="15.75" x14ac:dyDescent="0.25">
      <c r="A52" s="33" t="s">
        <v>106</v>
      </c>
      <c r="B52" s="33"/>
      <c r="C52" s="33"/>
      <c r="D52" s="33"/>
      <c r="E52" s="33"/>
      <c r="F52" s="313"/>
      <c r="G52" s="313"/>
      <c r="H52" s="313"/>
      <c r="I52" s="313"/>
      <c r="J52" s="313"/>
      <c r="K52" s="313"/>
      <c r="L52" s="313"/>
      <c r="M52" s="313"/>
      <c r="N52" s="313"/>
      <c r="O52" s="313"/>
    </row>
    <row r="53" spans="1:16" ht="15.75" x14ac:dyDescent="0.25">
      <c r="A53" s="33" t="s">
        <v>107</v>
      </c>
      <c r="B53" s="33"/>
      <c r="C53" s="33"/>
      <c r="D53" s="33"/>
      <c r="E53" s="33"/>
      <c r="F53" s="313"/>
      <c r="G53" s="313"/>
      <c r="H53" s="313"/>
      <c r="I53" s="313"/>
      <c r="J53" s="313"/>
      <c r="K53" s="313"/>
      <c r="L53" s="313">
        <v>258</v>
      </c>
      <c r="M53" s="313">
        <f>SUM(F53:L53)</f>
        <v>258</v>
      </c>
      <c r="N53" s="313"/>
      <c r="O53" s="313">
        <f>+N53+M53</f>
        <v>258</v>
      </c>
    </row>
    <row r="54" spans="1:16" ht="15.75" x14ac:dyDescent="0.25">
      <c r="A54" s="33" t="s">
        <v>108</v>
      </c>
      <c r="B54" s="33"/>
      <c r="C54" s="33"/>
      <c r="D54" s="33"/>
      <c r="E54" s="33"/>
      <c r="F54" s="313"/>
      <c r="G54" s="313"/>
      <c r="H54" s="313"/>
      <c r="I54" s="313"/>
      <c r="J54" s="313"/>
      <c r="K54" s="313"/>
      <c r="L54" s="313"/>
      <c r="M54" s="313">
        <f>SUM(F54:L54)</f>
        <v>0</v>
      </c>
      <c r="N54" s="313"/>
      <c r="O54" s="313">
        <f>+N54+M54</f>
        <v>0</v>
      </c>
    </row>
    <row r="55" spans="1:16" ht="15.75" x14ac:dyDescent="0.25">
      <c r="A55" s="33" t="s">
        <v>109</v>
      </c>
      <c r="B55" s="33"/>
      <c r="C55" s="33"/>
      <c r="D55" s="33"/>
      <c r="E55" s="33"/>
      <c r="F55" s="313"/>
      <c r="G55" s="313"/>
      <c r="H55" s="313"/>
      <c r="I55" s="313"/>
      <c r="J55" s="313"/>
      <c r="K55" s="313"/>
      <c r="L55" s="313"/>
      <c r="M55" s="313">
        <f>SUM(F55:L55)</f>
        <v>0</v>
      </c>
      <c r="N55" s="313"/>
      <c r="O55" s="313">
        <f>+N55+M55</f>
        <v>0</v>
      </c>
    </row>
    <row r="56" spans="1:16" ht="15.75" x14ac:dyDescent="0.25">
      <c r="A56" s="33" t="s">
        <v>110</v>
      </c>
      <c r="B56" s="33"/>
      <c r="C56" s="33"/>
      <c r="D56" s="33"/>
      <c r="E56" s="33"/>
      <c r="F56" s="313"/>
      <c r="G56" s="313"/>
      <c r="H56" s="313"/>
      <c r="I56" s="313"/>
      <c r="J56" s="313"/>
      <c r="K56" s="313"/>
      <c r="L56" s="313"/>
      <c r="M56" s="313">
        <f>SUM(F56:L56)</f>
        <v>0</v>
      </c>
      <c r="N56" s="313"/>
      <c r="O56" s="313">
        <f>+N56+M56</f>
        <v>0</v>
      </c>
    </row>
    <row r="57" spans="1:16" ht="15.75" x14ac:dyDescent="0.25">
      <c r="A57" s="33" t="s">
        <v>111</v>
      </c>
      <c r="B57" s="33"/>
      <c r="C57" s="33"/>
      <c r="D57" s="33"/>
      <c r="E57" s="33"/>
      <c r="F57" s="313"/>
      <c r="G57" s="313"/>
      <c r="H57" s="313"/>
      <c r="I57" s="313"/>
      <c r="J57" s="313"/>
      <c r="K57" s="313"/>
      <c r="L57" s="313"/>
      <c r="M57" s="313"/>
      <c r="N57" s="313"/>
      <c r="O57" s="313"/>
    </row>
    <row r="58" spans="1:16" ht="15.75" x14ac:dyDescent="0.25">
      <c r="A58" s="33" t="s">
        <v>112</v>
      </c>
      <c r="B58" s="33"/>
      <c r="C58" s="33"/>
      <c r="D58" s="33"/>
      <c r="E58" s="33"/>
      <c r="F58" s="313"/>
      <c r="G58" s="313"/>
      <c r="H58" s="313"/>
      <c r="I58" s="313"/>
      <c r="J58" s="313">
        <v>-727999</v>
      </c>
      <c r="K58" s="313"/>
      <c r="L58" s="313">
        <v>11654785</v>
      </c>
      <c r="M58" s="313">
        <f>SUM(F58:L58)</f>
        <v>10926786</v>
      </c>
      <c r="N58" s="313"/>
      <c r="O58" s="313">
        <f>+N58+M58</f>
        <v>10926786</v>
      </c>
    </row>
    <row r="59" spans="1:16" s="14" customFormat="1" ht="15.75" x14ac:dyDescent="0.25">
      <c r="A59" s="32" t="s">
        <v>113</v>
      </c>
      <c r="B59" s="32"/>
      <c r="C59" s="32"/>
      <c r="D59" s="32"/>
      <c r="E59" s="32"/>
      <c r="F59" s="314">
        <f>SUM(F49:F58)</f>
        <v>6474632</v>
      </c>
      <c r="G59" s="314">
        <f t="shared" ref="G59:O59" si="4">SUM(G49:G58)</f>
        <v>0</v>
      </c>
      <c r="H59" s="314">
        <f t="shared" si="4"/>
        <v>0</v>
      </c>
      <c r="I59" s="314">
        <f t="shared" si="4"/>
        <v>0</v>
      </c>
      <c r="J59" s="314">
        <f>SUM(J49:J58)</f>
        <v>-727999</v>
      </c>
      <c r="K59" s="314">
        <f t="shared" si="4"/>
        <v>0</v>
      </c>
      <c r="L59" s="314">
        <f t="shared" si="4"/>
        <v>11655043</v>
      </c>
      <c r="M59" s="314">
        <f>SUM(M49:M58)</f>
        <v>17401676</v>
      </c>
      <c r="N59" s="314">
        <f t="shared" si="4"/>
        <v>0</v>
      </c>
      <c r="O59" s="314">
        <f t="shared" si="4"/>
        <v>17401676</v>
      </c>
      <c r="P59" s="24"/>
    </row>
    <row r="60" spans="1:16" s="14" customFormat="1" ht="15.75" x14ac:dyDescent="0.25">
      <c r="A60" s="32" t="str">
        <f>+A30</f>
        <v>Balance as at  31/12/2016</v>
      </c>
      <c r="B60" s="32"/>
      <c r="C60" s="32"/>
      <c r="D60" s="32"/>
      <c r="E60" s="32"/>
      <c r="F60" s="314">
        <f>+F59+F45</f>
        <v>24547289</v>
      </c>
      <c r="G60" s="314">
        <f>+G45</f>
        <v>0</v>
      </c>
      <c r="H60" s="314">
        <f>+H45</f>
        <v>0</v>
      </c>
      <c r="I60" s="314">
        <f>+I59+I45</f>
        <v>30621187</v>
      </c>
      <c r="J60" s="314">
        <f>+J59+J45</f>
        <v>23388104</v>
      </c>
      <c r="K60" s="314">
        <f>+K59+K45</f>
        <v>-61936594</v>
      </c>
      <c r="L60" s="314">
        <f>+L59+L45</f>
        <v>129739102</v>
      </c>
      <c r="M60" s="314">
        <f>+M59+M45</f>
        <v>146359088</v>
      </c>
      <c r="N60" s="314">
        <f>+N45</f>
        <v>0</v>
      </c>
      <c r="O60" s="314">
        <f>+N60+M60</f>
        <v>146359088</v>
      </c>
    </row>
    <row r="61" spans="1:16" x14ac:dyDescent="0.25">
      <c r="L61" s="165"/>
    </row>
    <row r="63" spans="1:16" x14ac:dyDescent="0.25">
      <c r="M63" s="17"/>
    </row>
    <row r="64" spans="1:16" x14ac:dyDescent="0.25">
      <c r="M64" s="17"/>
    </row>
    <row r="65" spans="13:13" x14ac:dyDescent="0.25">
      <c r="M65" s="16"/>
    </row>
    <row r="66" spans="13:13" x14ac:dyDescent="0.25">
      <c r="M66" s="16"/>
    </row>
  </sheetData>
  <mergeCells count="9">
    <mergeCell ref="F36:H36"/>
    <mergeCell ref="A1:O1"/>
    <mergeCell ref="A2:O2"/>
    <mergeCell ref="F6:H6"/>
    <mergeCell ref="A4:O4"/>
    <mergeCell ref="A3:O3"/>
    <mergeCell ref="A34:A35"/>
    <mergeCell ref="I6:K6"/>
    <mergeCell ref="I36:K36"/>
  </mergeCells>
  <phoneticPr fontId="0" type="noConversion"/>
  <pageMargins left="0.41" right="0.17" top="0.61" bottom="0.74803149606299202" header="0.31496062992126" footer="0.31496062992126"/>
  <pageSetup paperSize="9" scale="68" fitToWidth="2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8"/>
  <sheetViews>
    <sheetView topLeftCell="A43" zoomScaleNormal="100" zoomScaleSheetLayoutView="100" workbookViewId="0">
      <selection activeCell="I78" sqref="I78"/>
    </sheetView>
  </sheetViews>
  <sheetFormatPr defaultRowHeight="15.75" x14ac:dyDescent="0.25"/>
  <cols>
    <col min="1" max="1" width="40.5703125" style="3" customWidth="1"/>
    <col min="2" max="2" width="14.28515625" style="3" customWidth="1"/>
    <col min="3" max="3" width="16.5703125" style="3" customWidth="1"/>
    <col min="4" max="4" width="14" style="3" bestFit="1" customWidth="1"/>
    <col min="5" max="5" width="16.7109375" style="3" customWidth="1"/>
    <col min="6" max="6" width="16.140625" style="3" customWidth="1"/>
    <col min="7" max="7" width="18.28515625" style="3" customWidth="1"/>
    <col min="8" max="8" width="15.5703125" style="3" customWidth="1"/>
    <col min="9" max="9" width="24.5703125" style="3" customWidth="1"/>
    <col min="10" max="16384" width="9.140625" style="3"/>
  </cols>
  <sheetData>
    <row r="1" spans="1:9" x14ac:dyDescent="0.25">
      <c r="A1" s="232" t="s">
        <v>39</v>
      </c>
      <c r="B1" s="233"/>
      <c r="C1" s="233"/>
      <c r="D1" s="233"/>
      <c r="E1" s="233"/>
      <c r="F1" s="233"/>
      <c r="G1" s="233"/>
      <c r="H1" s="233"/>
      <c r="I1" s="234"/>
    </row>
    <row r="2" spans="1:9" x14ac:dyDescent="0.25">
      <c r="A2" s="235" t="s">
        <v>228</v>
      </c>
      <c r="B2" s="236"/>
      <c r="C2" s="236"/>
      <c r="D2" s="236"/>
      <c r="E2" s="236"/>
      <c r="F2" s="236"/>
      <c r="G2" s="236"/>
      <c r="H2" s="236"/>
      <c r="I2" s="237"/>
    </row>
    <row r="3" spans="1:9" x14ac:dyDescent="0.25">
      <c r="A3" s="264" t="s">
        <v>287</v>
      </c>
      <c r="B3" s="265"/>
      <c r="C3" s="265"/>
      <c r="D3" s="265"/>
      <c r="E3" s="266" t="str">
        <f>+'INCOME(1)'!E10</f>
        <v>31.12.2016</v>
      </c>
      <c r="F3" s="266"/>
      <c r="G3" s="266"/>
      <c r="H3" s="266"/>
      <c r="I3" s="267"/>
    </row>
    <row r="4" spans="1:9" x14ac:dyDescent="0.25">
      <c r="A4" s="235"/>
      <c r="B4" s="236"/>
      <c r="C4" s="236"/>
      <c r="D4" s="236"/>
      <c r="E4" s="236"/>
      <c r="F4" s="236"/>
      <c r="G4" s="236"/>
      <c r="H4" s="236"/>
      <c r="I4" s="237"/>
    </row>
    <row r="5" spans="1:9" s="152" customFormat="1" x14ac:dyDescent="0.25">
      <c r="A5" s="261" t="s">
        <v>132</v>
      </c>
      <c r="B5" s="262"/>
      <c r="C5" s="262"/>
      <c r="D5" s="262"/>
      <c r="E5" s="262"/>
      <c r="F5" s="262"/>
      <c r="G5" s="262"/>
      <c r="H5" s="262"/>
      <c r="I5" s="263"/>
    </row>
    <row r="6" spans="1:9" x14ac:dyDescent="0.25">
      <c r="A6" s="85" t="s">
        <v>283</v>
      </c>
      <c r="B6" s="82" t="s">
        <v>233</v>
      </c>
      <c r="C6" s="82" t="s">
        <v>150</v>
      </c>
      <c r="D6" s="82" t="s">
        <v>153</v>
      </c>
      <c r="E6" s="82" t="s">
        <v>154</v>
      </c>
      <c r="F6" s="82" t="s">
        <v>156</v>
      </c>
      <c r="G6" s="82" t="s">
        <v>157</v>
      </c>
      <c r="H6" s="82" t="s">
        <v>58</v>
      </c>
      <c r="I6" s="82" t="s">
        <v>130</v>
      </c>
    </row>
    <row r="7" spans="1:9" x14ac:dyDescent="0.25">
      <c r="A7" s="62"/>
      <c r="B7" s="83"/>
      <c r="C7" s="83" t="s">
        <v>151</v>
      </c>
      <c r="D7" s="83"/>
      <c r="E7" s="83" t="s">
        <v>155</v>
      </c>
      <c r="F7" s="83"/>
      <c r="G7" s="83"/>
      <c r="H7" s="83"/>
      <c r="I7" s="83"/>
    </row>
    <row r="8" spans="1:9" x14ac:dyDescent="0.25">
      <c r="A8" s="86"/>
      <c r="B8" s="84"/>
      <c r="C8" s="84" t="s">
        <v>152</v>
      </c>
      <c r="D8" s="84"/>
      <c r="E8" s="84"/>
      <c r="F8" s="84"/>
      <c r="G8" s="84"/>
      <c r="H8" s="84"/>
      <c r="I8" s="84"/>
    </row>
    <row r="9" spans="1:9" x14ac:dyDescent="0.25">
      <c r="A9" s="32" t="s">
        <v>133</v>
      </c>
      <c r="B9" s="33"/>
      <c r="C9" s="33"/>
      <c r="D9" s="33"/>
      <c r="E9" s="33"/>
      <c r="F9" s="33"/>
      <c r="G9" s="33"/>
      <c r="H9" s="33"/>
      <c r="I9" s="33"/>
    </row>
    <row r="10" spans="1:9" x14ac:dyDescent="0.25">
      <c r="A10" s="33" t="s">
        <v>134</v>
      </c>
      <c r="B10" s="35"/>
      <c r="C10" s="35"/>
      <c r="D10" s="35"/>
      <c r="E10" s="35">
        <f>+'FINANCIAL POSITION'!F13</f>
        <v>618045</v>
      </c>
      <c r="F10" s="35"/>
      <c r="G10" s="35"/>
      <c r="H10" s="35"/>
      <c r="I10" s="35">
        <f>SUM(B10:H10)</f>
        <v>618045</v>
      </c>
    </row>
    <row r="11" spans="1:9" x14ac:dyDescent="0.25">
      <c r="A11" s="33" t="s">
        <v>54</v>
      </c>
      <c r="B11" s="35"/>
      <c r="C11" s="35"/>
      <c r="D11" s="35"/>
      <c r="E11" s="35">
        <f>+'FINANCIAL POSITION'!F14</f>
        <v>59850</v>
      </c>
      <c r="F11" s="35"/>
      <c r="G11" s="35"/>
      <c r="H11" s="35"/>
      <c r="I11" s="35">
        <f t="shared" ref="I11:I19" si="0">SUM(B11:H11)</f>
        <v>59850</v>
      </c>
    </row>
    <row r="12" spans="1:9" x14ac:dyDescent="0.25">
      <c r="A12" s="33" t="s">
        <v>55</v>
      </c>
      <c r="B12" s="35"/>
      <c r="C12" s="35"/>
      <c r="D12" s="35"/>
      <c r="E12" s="35">
        <f>+'FINANCIAL POSITION'!F15</f>
        <v>13865287</v>
      </c>
      <c r="F12" s="35"/>
      <c r="G12" s="35"/>
      <c r="H12" s="35"/>
      <c r="I12" s="35">
        <f t="shared" si="0"/>
        <v>13865287</v>
      </c>
    </row>
    <row r="13" spans="1:9" x14ac:dyDescent="0.25">
      <c r="A13" s="33" t="s">
        <v>56</v>
      </c>
      <c r="B13" s="35"/>
      <c r="C13" s="35"/>
      <c r="D13" s="35"/>
      <c r="E13" s="35"/>
      <c r="F13" s="35"/>
      <c r="G13" s="35"/>
      <c r="H13" s="35"/>
      <c r="I13" s="35">
        <f t="shared" si="0"/>
        <v>0</v>
      </c>
    </row>
    <row r="14" spans="1:9" x14ac:dyDescent="0.25">
      <c r="A14" s="33" t="s">
        <v>135</v>
      </c>
      <c r="B14" s="35"/>
      <c r="C14" s="35"/>
      <c r="D14" s="35"/>
      <c r="E14" s="35"/>
      <c r="F14" s="35"/>
      <c r="G14" s="35"/>
      <c r="H14" s="35"/>
      <c r="I14" s="35">
        <f t="shared" si="0"/>
        <v>0</v>
      </c>
    </row>
    <row r="15" spans="1:9" x14ac:dyDescent="0.25">
      <c r="A15" s="33" t="s">
        <v>136</v>
      </c>
      <c r="B15" s="35"/>
      <c r="C15" s="35"/>
      <c r="D15" s="35"/>
      <c r="E15" s="35"/>
      <c r="F15" s="35"/>
      <c r="G15" s="35"/>
      <c r="H15" s="35"/>
      <c r="I15" s="35">
        <f t="shared" si="0"/>
        <v>0</v>
      </c>
    </row>
    <row r="16" spans="1:9" x14ac:dyDescent="0.25">
      <c r="A16" s="33" t="s">
        <v>137</v>
      </c>
      <c r="B16" s="35"/>
      <c r="C16" s="35"/>
      <c r="D16" s="35"/>
      <c r="E16" s="35">
        <f>+'FINANCIAL POSITION'!F20</f>
        <v>163000</v>
      </c>
      <c r="F16" s="35"/>
      <c r="G16" s="35"/>
      <c r="H16" s="35"/>
      <c r="I16" s="35">
        <f t="shared" si="0"/>
        <v>163000</v>
      </c>
    </row>
    <row r="17" spans="1:9" x14ac:dyDescent="0.25">
      <c r="A17" s="33" t="s">
        <v>184</v>
      </c>
      <c r="B17" s="35"/>
      <c r="C17" s="35"/>
      <c r="D17" s="35"/>
      <c r="E17" s="35">
        <f>+'FINANCIAL POSITION'!F21</f>
        <v>15048227</v>
      </c>
      <c r="F17" s="35"/>
      <c r="G17" s="35"/>
      <c r="H17" s="35"/>
      <c r="I17" s="35">
        <f t="shared" si="0"/>
        <v>15048227</v>
      </c>
    </row>
    <row r="18" spans="1:9" x14ac:dyDescent="0.25">
      <c r="A18" s="33" t="s">
        <v>58</v>
      </c>
      <c r="B18" s="35"/>
      <c r="C18" s="35"/>
      <c r="D18" s="35"/>
      <c r="E18" s="35"/>
      <c r="F18" s="35"/>
      <c r="G18" s="35"/>
      <c r="H18" s="35"/>
      <c r="I18" s="35">
        <f t="shared" si="0"/>
        <v>0</v>
      </c>
    </row>
    <row r="19" spans="1:9" x14ac:dyDescent="0.25">
      <c r="A19" s="33" t="s">
        <v>138</v>
      </c>
      <c r="B19" s="35"/>
      <c r="C19" s="35"/>
      <c r="D19" s="35">
        <f>+'FINANCIAL POSITION'!F23</f>
        <v>3140265</v>
      </c>
      <c r="E19" s="35"/>
      <c r="F19" s="35">
        <f>+'FINANCIAL POSITION'!F22</f>
        <v>2040</v>
      </c>
      <c r="G19" s="35"/>
      <c r="H19" s="35"/>
      <c r="I19" s="35">
        <f t="shared" si="0"/>
        <v>3142305</v>
      </c>
    </row>
    <row r="20" spans="1:9" s="2" customFormat="1" x14ac:dyDescent="0.25">
      <c r="A20" s="32" t="s">
        <v>139</v>
      </c>
      <c r="B20" s="36">
        <f>SUM(B10:B19)</f>
        <v>0</v>
      </c>
      <c r="C20" s="36">
        <f>SUM(C10:C19)</f>
        <v>0</v>
      </c>
      <c r="D20" s="36">
        <f>SUM(D10:D19)</f>
        <v>3140265</v>
      </c>
      <c r="E20" s="36">
        <f>SUM(E10:E19)</f>
        <v>29754409</v>
      </c>
      <c r="F20" s="36">
        <f>SUM(F10:F19)</f>
        <v>2040</v>
      </c>
      <c r="G20" s="36">
        <f t="shared" ref="G20:H20" si="1">SUM(G10:G19)</f>
        <v>0</v>
      </c>
      <c r="H20" s="36">
        <f t="shared" si="1"/>
        <v>0</v>
      </c>
      <c r="I20" s="36">
        <f>SUM(I10:I19)</f>
        <v>32896714</v>
      </c>
    </row>
    <row r="21" spans="1:9" x14ac:dyDescent="0.25">
      <c r="A21" s="104"/>
      <c r="B21" s="105"/>
      <c r="C21" s="105"/>
      <c r="D21" s="105"/>
      <c r="E21" s="105"/>
      <c r="F21" s="105"/>
      <c r="G21" s="105"/>
      <c r="H21" s="105"/>
      <c r="I21" s="106"/>
    </row>
    <row r="22" spans="1:9" x14ac:dyDescent="0.25">
      <c r="A22" s="85" t="s">
        <v>1</v>
      </c>
      <c r="B22" s="82" t="s">
        <v>233</v>
      </c>
      <c r="C22" s="82" t="s">
        <v>150</v>
      </c>
      <c r="D22" s="82" t="s">
        <v>153</v>
      </c>
      <c r="E22" s="82" t="s">
        <v>154</v>
      </c>
      <c r="F22" s="82" t="s">
        <v>156</v>
      </c>
      <c r="G22" s="82" t="s">
        <v>157</v>
      </c>
      <c r="H22" s="82" t="s">
        <v>58</v>
      </c>
      <c r="I22" s="82" t="s">
        <v>130</v>
      </c>
    </row>
    <row r="23" spans="1:9" x14ac:dyDescent="0.25">
      <c r="A23" s="62"/>
      <c r="B23" s="83"/>
      <c r="C23" s="83" t="s">
        <v>151</v>
      </c>
      <c r="D23" s="83"/>
      <c r="E23" s="83" t="s">
        <v>155</v>
      </c>
      <c r="F23" s="83"/>
      <c r="G23" s="83"/>
      <c r="H23" s="83"/>
      <c r="I23" s="83"/>
    </row>
    <row r="24" spans="1:9" x14ac:dyDescent="0.25">
      <c r="A24" s="86"/>
      <c r="B24" s="84"/>
      <c r="C24" s="84" t="s">
        <v>152</v>
      </c>
      <c r="D24" s="84"/>
      <c r="E24" s="84"/>
      <c r="F24" s="84"/>
      <c r="G24" s="84"/>
      <c r="H24" s="84"/>
      <c r="I24" s="84"/>
    </row>
    <row r="25" spans="1:9" x14ac:dyDescent="0.25">
      <c r="A25" s="32" t="s">
        <v>140</v>
      </c>
      <c r="B25" s="33"/>
      <c r="C25" s="33"/>
      <c r="D25" s="77"/>
      <c r="E25" s="77"/>
      <c r="F25" s="33"/>
      <c r="G25" s="33"/>
      <c r="H25" s="33"/>
      <c r="I25" s="33"/>
    </row>
    <row r="26" spans="1:9" x14ac:dyDescent="0.25">
      <c r="A26" s="33" t="s">
        <v>75</v>
      </c>
      <c r="B26" s="88"/>
      <c r="C26" s="88"/>
      <c r="D26" s="110"/>
      <c r="E26" s="110">
        <f>+'FINANCIAL POSITION'!F33</f>
        <v>23173353</v>
      </c>
      <c r="F26" s="88"/>
      <c r="G26" s="88"/>
      <c r="H26" s="88"/>
      <c r="I26" s="35">
        <f>SUM(B26:H26)</f>
        <v>23173353</v>
      </c>
    </row>
    <row r="27" spans="1:9" x14ac:dyDescent="0.25">
      <c r="A27" s="33" t="s">
        <v>56</v>
      </c>
      <c r="B27" s="88"/>
      <c r="C27" s="88"/>
      <c r="D27" s="111"/>
      <c r="E27" s="111"/>
      <c r="F27" s="88"/>
      <c r="G27" s="88"/>
      <c r="H27" s="88"/>
      <c r="I27" s="35">
        <f t="shared" ref="I27:I32" si="2">SUM(B27:H27)</f>
        <v>0</v>
      </c>
    </row>
    <row r="28" spans="1:9" x14ac:dyDescent="0.25">
      <c r="A28" s="33" t="s">
        <v>141</v>
      </c>
      <c r="B28" s="88"/>
      <c r="C28" s="88"/>
      <c r="D28" s="111"/>
      <c r="E28" s="111"/>
      <c r="F28" s="88"/>
      <c r="G28" s="88"/>
      <c r="H28" s="88"/>
      <c r="I28" s="35">
        <f t="shared" si="2"/>
        <v>0</v>
      </c>
    </row>
    <row r="29" spans="1:9" x14ac:dyDescent="0.25">
      <c r="A29" s="33" t="s">
        <v>136</v>
      </c>
      <c r="B29" s="88"/>
      <c r="C29" s="88"/>
      <c r="D29" s="111"/>
      <c r="E29" s="111"/>
      <c r="F29" s="88"/>
      <c r="G29" s="88"/>
      <c r="H29" s="88"/>
      <c r="I29" s="35">
        <f t="shared" si="2"/>
        <v>0</v>
      </c>
    </row>
    <row r="30" spans="1:9" x14ac:dyDescent="0.25">
      <c r="A30" s="33" t="s">
        <v>142</v>
      </c>
      <c r="B30" s="88"/>
      <c r="C30" s="88"/>
      <c r="D30" s="110"/>
      <c r="E30" s="110">
        <f>+'FINANCIAL POSITION'!F38</f>
        <v>2280111</v>
      </c>
      <c r="F30" s="88"/>
      <c r="G30" s="88"/>
      <c r="H30" s="88"/>
      <c r="I30" s="35">
        <f t="shared" si="2"/>
        <v>2280111</v>
      </c>
    </row>
    <row r="31" spans="1:9" x14ac:dyDescent="0.25">
      <c r="A31" s="33" t="s">
        <v>76</v>
      </c>
      <c r="B31" s="88"/>
      <c r="C31" s="88"/>
      <c r="D31" s="111"/>
      <c r="E31" s="111"/>
      <c r="F31" s="88"/>
      <c r="G31" s="88"/>
      <c r="H31" s="35"/>
      <c r="I31" s="35">
        <f t="shared" si="2"/>
        <v>0</v>
      </c>
    </row>
    <row r="32" spans="1:9" x14ac:dyDescent="0.25">
      <c r="A32" s="33" t="s">
        <v>143</v>
      </c>
      <c r="B32" s="88"/>
      <c r="C32" s="88"/>
      <c r="D32" s="111"/>
      <c r="E32" s="111"/>
      <c r="F32" s="88"/>
      <c r="G32" s="88"/>
      <c r="H32" s="35"/>
      <c r="I32" s="35">
        <f t="shared" si="2"/>
        <v>0</v>
      </c>
    </row>
    <row r="33" spans="1:9" x14ac:dyDescent="0.25">
      <c r="A33" s="32" t="s">
        <v>158</v>
      </c>
      <c r="B33" s="38"/>
      <c r="C33" s="38"/>
      <c r="D33" s="112"/>
      <c r="E33" s="112">
        <f>SUM(E26:F32)</f>
        <v>25453464</v>
      </c>
      <c r="F33" s="38"/>
      <c r="G33" s="38"/>
      <c r="H33" s="36"/>
      <c r="I33" s="36">
        <f>SUM(B33:H33)</f>
        <v>25453464</v>
      </c>
    </row>
    <row r="34" spans="1:9" s="37" customFormat="1" x14ac:dyDescent="0.25">
      <c r="A34" s="69" t="s">
        <v>144</v>
      </c>
      <c r="B34" s="76"/>
      <c r="C34" s="76"/>
      <c r="D34" s="76"/>
      <c r="E34" s="76"/>
      <c r="F34" s="76"/>
      <c r="G34" s="76"/>
      <c r="H34" s="76"/>
      <c r="I34" s="107"/>
    </row>
    <row r="35" spans="1:9" s="37" customFormat="1" x14ac:dyDescent="0.25">
      <c r="A35" s="69" t="s">
        <v>145</v>
      </c>
      <c r="B35" s="76"/>
      <c r="C35" s="76"/>
      <c r="D35" s="76"/>
      <c r="E35" s="76"/>
      <c r="F35" s="76"/>
      <c r="G35" s="76"/>
      <c r="H35" s="76"/>
      <c r="I35" s="107"/>
    </row>
    <row r="36" spans="1:9" s="37" customFormat="1" x14ac:dyDescent="0.25">
      <c r="A36" s="69" t="s">
        <v>146</v>
      </c>
      <c r="B36" s="76"/>
      <c r="C36" s="76"/>
      <c r="D36" s="76"/>
      <c r="E36" s="76"/>
      <c r="F36" s="76"/>
      <c r="G36" s="76"/>
      <c r="H36" s="76"/>
      <c r="I36" s="107"/>
    </row>
    <row r="37" spans="1:9" s="37" customFormat="1" x14ac:dyDescent="0.25">
      <c r="A37" s="69" t="s">
        <v>147</v>
      </c>
      <c r="B37" s="76"/>
      <c r="C37" s="76"/>
      <c r="D37" s="76"/>
      <c r="E37" s="76"/>
      <c r="F37" s="76"/>
      <c r="G37" s="76"/>
      <c r="H37" s="76"/>
      <c r="I37" s="107"/>
    </row>
    <row r="38" spans="1:9" s="37" customFormat="1" x14ac:dyDescent="0.25">
      <c r="A38" s="69" t="s">
        <v>148</v>
      </c>
      <c r="B38" s="76"/>
      <c r="C38" s="76"/>
      <c r="D38" s="76"/>
      <c r="E38" s="76"/>
      <c r="F38" s="76"/>
      <c r="G38" s="76"/>
      <c r="H38" s="76"/>
      <c r="I38" s="107"/>
    </row>
    <row r="39" spans="1:9" s="37" customFormat="1" x14ac:dyDescent="0.25">
      <c r="A39" s="69" t="s">
        <v>149</v>
      </c>
      <c r="B39" s="76"/>
      <c r="C39" s="76"/>
      <c r="D39" s="76"/>
      <c r="E39" s="76"/>
      <c r="F39" s="76"/>
      <c r="G39" s="76"/>
      <c r="H39" s="76"/>
      <c r="I39" s="107"/>
    </row>
    <row r="40" spans="1:9" s="37" customFormat="1" x14ac:dyDescent="0.25">
      <c r="A40" s="69"/>
      <c r="B40" s="76"/>
      <c r="C40" s="76"/>
      <c r="D40" s="76"/>
      <c r="E40" s="76"/>
      <c r="F40" s="76"/>
      <c r="G40" s="76"/>
      <c r="H40" s="76"/>
      <c r="I40" s="107"/>
    </row>
    <row r="41" spans="1:9" s="37" customFormat="1" x14ac:dyDescent="0.25">
      <c r="A41" s="69"/>
      <c r="B41" s="76"/>
      <c r="C41" s="76"/>
      <c r="D41" s="76"/>
      <c r="E41" s="76"/>
      <c r="F41" s="76"/>
      <c r="G41" s="76"/>
      <c r="H41" s="76"/>
      <c r="I41" s="107"/>
    </row>
    <row r="42" spans="1:9" s="37" customFormat="1" ht="16.5" thickBot="1" x14ac:dyDescent="0.3">
      <c r="A42" s="108"/>
      <c r="B42" s="87"/>
      <c r="C42" s="87"/>
      <c r="D42" s="87"/>
      <c r="E42" s="87"/>
      <c r="F42" s="87"/>
      <c r="G42" s="87"/>
      <c r="H42" s="87"/>
      <c r="I42" s="109"/>
    </row>
    <row r="43" spans="1:9" s="37" customFormat="1" ht="16.5" thickTop="1" x14ac:dyDescent="0.25">
      <c r="A43" s="69"/>
      <c r="B43" s="76"/>
      <c r="C43" s="76"/>
      <c r="D43" s="76"/>
      <c r="E43" s="76"/>
      <c r="F43" s="76"/>
      <c r="G43" s="76"/>
      <c r="H43" s="76"/>
      <c r="I43" s="107"/>
    </row>
    <row r="44" spans="1:9" s="37" customFormat="1" x14ac:dyDescent="0.25">
      <c r="A44" s="69"/>
      <c r="B44" s="76"/>
      <c r="C44" s="76"/>
      <c r="D44" s="76"/>
      <c r="E44" s="76"/>
      <c r="F44" s="76"/>
      <c r="G44" s="76"/>
      <c r="H44" s="76"/>
      <c r="I44" s="107"/>
    </row>
    <row r="45" spans="1:9" s="37" customFormat="1" x14ac:dyDescent="0.25">
      <c r="A45" s="69"/>
      <c r="B45" s="76"/>
      <c r="C45" s="76"/>
      <c r="D45" s="76"/>
      <c r="E45" s="76"/>
      <c r="F45" s="76"/>
      <c r="G45" s="76"/>
      <c r="H45" s="76"/>
      <c r="I45" s="107"/>
    </row>
    <row r="46" spans="1:9" s="37" customFormat="1" x14ac:dyDescent="0.25">
      <c r="A46" s="235" t="s">
        <v>39</v>
      </c>
      <c r="B46" s="236"/>
      <c r="C46" s="236"/>
      <c r="D46" s="236"/>
      <c r="E46" s="236"/>
      <c r="F46" s="236"/>
      <c r="G46" s="236"/>
      <c r="H46" s="236"/>
      <c r="I46" s="237"/>
    </row>
    <row r="47" spans="1:9" s="37" customFormat="1" x14ac:dyDescent="0.25">
      <c r="A47" s="235" t="s">
        <v>159</v>
      </c>
      <c r="B47" s="236"/>
      <c r="C47" s="236"/>
      <c r="D47" s="236"/>
      <c r="E47" s="236"/>
      <c r="F47" s="236"/>
      <c r="G47" s="236"/>
      <c r="H47" s="236"/>
      <c r="I47" s="237"/>
    </row>
    <row r="48" spans="1:9" s="37" customFormat="1" x14ac:dyDescent="0.25">
      <c r="A48" s="235" t="s">
        <v>292</v>
      </c>
      <c r="B48" s="236"/>
      <c r="C48" s="236"/>
      <c r="D48" s="236"/>
      <c r="E48" s="236"/>
      <c r="F48" s="236"/>
      <c r="G48" s="236"/>
      <c r="H48" s="236"/>
      <c r="I48" s="237"/>
    </row>
    <row r="49" spans="1:9" s="37" customFormat="1" x14ac:dyDescent="0.25">
      <c r="A49" s="113"/>
      <c r="B49" s="68"/>
      <c r="C49" s="68"/>
      <c r="D49" s="68"/>
      <c r="E49" s="68"/>
      <c r="F49" s="68"/>
      <c r="G49" s="68"/>
      <c r="H49" s="68"/>
      <c r="I49" s="114"/>
    </row>
    <row r="50" spans="1:9" s="152" customFormat="1" x14ac:dyDescent="0.25">
      <c r="A50" s="258" t="s">
        <v>245</v>
      </c>
      <c r="B50" s="259"/>
      <c r="C50" s="259"/>
      <c r="D50" s="259"/>
      <c r="E50" s="259"/>
      <c r="F50" s="259"/>
      <c r="G50" s="259"/>
      <c r="H50" s="259"/>
      <c r="I50" s="260"/>
    </row>
    <row r="51" spans="1:9" x14ac:dyDescent="0.25">
      <c r="A51" s="85" t="s">
        <v>283</v>
      </c>
      <c r="B51" s="82" t="s">
        <v>233</v>
      </c>
      <c r="C51" s="82" t="s">
        <v>150</v>
      </c>
      <c r="D51" s="82" t="s">
        <v>153</v>
      </c>
      <c r="E51" s="82" t="s">
        <v>154</v>
      </c>
      <c r="F51" s="82" t="s">
        <v>156</v>
      </c>
      <c r="G51" s="82" t="s">
        <v>157</v>
      </c>
      <c r="H51" s="82" t="s">
        <v>58</v>
      </c>
      <c r="I51" s="82" t="s">
        <v>130</v>
      </c>
    </row>
    <row r="52" spans="1:9" x14ac:dyDescent="0.25">
      <c r="A52" s="62"/>
      <c r="B52" s="83"/>
      <c r="C52" s="83" t="s">
        <v>151</v>
      </c>
      <c r="D52" s="83"/>
      <c r="E52" s="83" t="s">
        <v>155</v>
      </c>
      <c r="F52" s="83"/>
      <c r="G52" s="83"/>
      <c r="H52" s="83"/>
      <c r="I52" s="83"/>
    </row>
    <row r="53" spans="1:9" x14ac:dyDescent="0.25">
      <c r="A53" s="86"/>
      <c r="B53" s="84"/>
      <c r="C53" s="84" t="s">
        <v>152</v>
      </c>
      <c r="D53" s="84"/>
      <c r="E53" s="84"/>
      <c r="F53" s="84"/>
      <c r="G53" s="84"/>
      <c r="H53" s="84"/>
      <c r="I53" s="84"/>
    </row>
    <row r="54" spans="1:9" x14ac:dyDescent="0.25">
      <c r="A54" s="32" t="s">
        <v>133</v>
      </c>
      <c r="B54" s="33"/>
      <c r="C54" s="33"/>
      <c r="D54" s="35"/>
      <c r="F54" s="35"/>
      <c r="G54" s="35"/>
      <c r="H54" s="35"/>
      <c r="I54" s="35">
        <f>SUM(B54:H54)</f>
        <v>0</v>
      </c>
    </row>
    <row r="55" spans="1:9" x14ac:dyDescent="0.25">
      <c r="A55" s="33" t="s">
        <v>134</v>
      </c>
      <c r="B55" s="35"/>
      <c r="C55" s="35"/>
      <c r="D55" s="35"/>
      <c r="E55" s="35">
        <v>191334</v>
      </c>
      <c r="F55" s="35"/>
      <c r="G55" s="35"/>
      <c r="H55" s="35"/>
      <c r="I55" s="35">
        <f>SUM(B55:H55)</f>
        <v>191334</v>
      </c>
    </row>
    <row r="56" spans="1:9" x14ac:dyDescent="0.25">
      <c r="A56" s="33" t="s">
        <v>54</v>
      </c>
      <c r="B56" s="35"/>
      <c r="C56" s="35"/>
      <c r="D56" s="35"/>
      <c r="E56" s="35">
        <v>55883</v>
      </c>
      <c r="F56" s="35"/>
      <c r="G56" s="35"/>
      <c r="H56" s="35"/>
      <c r="I56" s="35">
        <f t="shared" ref="I56:I63" si="3">SUM(B56:H56)</f>
        <v>55883</v>
      </c>
    </row>
    <row r="57" spans="1:9" x14ac:dyDescent="0.25">
      <c r="A57" s="33" t="s">
        <v>55</v>
      </c>
      <c r="B57" s="35"/>
      <c r="C57" s="35"/>
      <c r="D57" s="35"/>
      <c r="E57" s="35">
        <v>18364400</v>
      </c>
      <c r="F57" s="35"/>
      <c r="G57" s="35"/>
      <c r="H57" s="35"/>
      <c r="I57" s="35">
        <f t="shared" si="3"/>
        <v>18364400</v>
      </c>
    </row>
    <row r="58" spans="1:9" x14ac:dyDescent="0.25">
      <c r="A58" s="33" t="s">
        <v>56</v>
      </c>
      <c r="B58" s="35"/>
      <c r="C58" s="35"/>
      <c r="D58" s="35"/>
      <c r="E58" s="35"/>
      <c r="F58" s="35"/>
      <c r="G58" s="35"/>
      <c r="H58" s="35"/>
      <c r="I58" s="35">
        <f t="shared" si="3"/>
        <v>0</v>
      </c>
    </row>
    <row r="59" spans="1:9" x14ac:dyDescent="0.25">
      <c r="A59" s="33" t="s">
        <v>135</v>
      </c>
      <c r="B59" s="35"/>
      <c r="C59" s="35"/>
      <c r="D59" s="35"/>
      <c r="E59" s="35"/>
      <c r="F59" s="35"/>
      <c r="G59" s="35"/>
      <c r="H59" s="35"/>
      <c r="I59" s="35">
        <f t="shared" si="3"/>
        <v>0</v>
      </c>
    </row>
    <row r="60" spans="1:9" x14ac:dyDescent="0.25">
      <c r="A60" s="33" t="s">
        <v>136</v>
      </c>
      <c r="B60" s="35"/>
      <c r="C60" s="35"/>
      <c r="D60" s="35"/>
      <c r="E60" s="35"/>
      <c r="F60" s="35"/>
      <c r="G60" s="35"/>
      <c r="H60" s="35"/>
      <c r="I60" s="35">
        <f t="shared" si="3"/>
        <v>0</v>
      </c>
    </row>
    <row r="61" spans="1:9" x14ac:dyDescent="0.25">
      <c r="A61" s="33" t="s">
        <v>137</v>
      </c>
      <c r="B61" s="35"/>
      <c r="C61" s="35"/>
      <c r="D61" s="35"/>
      <c r="E61" s="35">
        <v>440000</v>
      </c>
      <c r="F61" s="35"/>
      <c r="G61" s="35"/>
      <c r="H61" s="35"/>
      <c r="I61" s="35">
        <f t="shared" si="3"/>
        <v>440000</v>
      </c>
    </row>
    <row r="62" spans="1:9" x14ac:dyDescent="0.25">
      <c r="A62" s="33" t="s">
        <v>184</v>
      </c>
      <c r="B62" s="35"/>
      <c r="C62" s="35"/>
      <c r="D62" s="35"/>
      <c r="E62" s="35">
        <v>21344075</v>
      </c>
      <c r="F62" s="35"/>
      <c r="G62" s="35"/>
      <c r="H62" s="35"/>
      <c r="I62" s="35">
        <f t="shared" si="3"/>
        <v>21344075</v>
      </c>
    </row>
    <row r="63" spans="1:9" x14ac:dyDescent="0.25">
      <c r="A63" s="33" t="s">
        <v>58</v>
      </c>
      <c r="B63" s="35"/>
      <c r="C63" s="35"/>
      <c r="D63" s="35"/>
      <c r="E63" s="35"/>
      <c r="F63" s="35"/>
      <c r="G63" s="35"/>
      <c r="H63" s="35">
        <v>510541</v>
      </c>
      <c r="I63" s="35">
        <f t="shared" si="3"/>
        <v>510541</v>
      </c>
    </row>
    <row r="64" spans="1:9" x14ac:dyDescent="0.25">
      <c r="A64" s="33" t="s">
        <v>138</v>
      </c>
      <c r="B64" s="35"/>
      <c r="C64" s="35"/>
      <c r="D64" s="35">
        <v>3780169</v>
      </c>
      <c r="E64" s="35"/>
      <c r="F64" s="35">
        <v>2040</v>
      </c>
      <c r="G64" s="35"/>
      <c r="H64" s="35"/>
      <c r="I64" s="35">
        <f>SUM(B64:H64)</f>
        <v>3782209</v>
      </c>
    </row>
    <row r="65" spans="1:9" s="2" customFormat="1" x14ac:dyDescent="0.25">
      <c r="A65" s="32" t="s">
        <v>139</v>
      </c>
      <c r="B65" s="36">
        <f t="shared" ref="B65:H65" si="4">SUM(B55:B64)</f>
        <v>0</v>
      </c>
      <c r="C65" s="36">
        <f t="shared" si="4"/>
        <v>0</v>
      </c>
      <c r="D65" s="36">
        <f t="shared" si="4"/>
        <v>3780169</v>
      </c>
      <c r="E65" s="36">
        <f t="shared" si="4"/>
        <v>40395692</v>
      </c>
      <c r="F65" s="36">
        <f t="shared" si="4"/>
        <v>2040</v>
      </c>
      <c r="G65" s="36">
        <f t="shared" si="4"/>
        <v>0</v>
      </c>
      <c r="H65" s="36">
        <f t="shared" si="4"/>
        <v>510541</v>
      </c>
      <c r="I65" s="36">
        <f>SUM(I54:I64)</f>
        <v>44688442</v>
      </c>
    </row>
    <row r="66" spans="1:9" x14ac:dyDescent="0.25">
      <c r="A66" s="104"/>
      <c r="B66" s="105"/>
      <c r="C66" s="105"/>
      <c r="D66" s="105"/>
      <c r="E66" s="105"/>
      <c r="F66" s="105"/>
      <c r="G66" s="105"/>
      <c r="H66" s="105"/>
      <c r="I66" s="106"/>
    </row>
    <row r="67" spans="1:9" x14ac:dyDescent="0.25">
      <c r="A67" s="85" t="s">
        <v>229</v>
      </c>
      <c r="B67" s="82" t="s">
        <v>233</v>
      </c>
      <c r="C67" s="82" t="s">
        <v>150</v>
      </c>
      <c r="D67" s="82" t="s">
        <v>153</v>
      </c>
      <c r="E67" s="82" t="s">
        <v>154</v>
      </c>
      <c r="F67" s="82" t="s">
        <v>156</v>
      </c>
      <c r="G67" s="82" t="s">
        <v>157</v>
      </c>
      <c r="H67" s="82" t="s">
        <v>58</v>
      </c>
      <c r="I67" s="82" t="s">
        <v>130</v>
      </c>
    </row>
    <row r="68" spans="1:9" x14ac:dyDescent="0.25">
      <c r="A68" s="62"/>
      <c r="B68" s="83"/>
      <c r="C68" s="83" t="s">
        <v>151</v>
      </c>
      <c r="D68" s="83"/>
      <c r="E68" s="83" t="s">
        <v>155</v>
      </c>
      <c r="F68" s="83"/>
      <c r="G68" s="83"/>
      <c r="H68" s="83"/>
      <c r="I68" s="83"/>
    </row>
    <row r="69" spans="1:9" x14ac:dyDescent="0.25">
      <c r="A69" s="86"/>
      <c r="B69" s="84"/>
      <c r="C69" s="84" t="s">
        <v>152</v>
      </c>
      <c r="D69" s="84"/>
      <c r="E69" s="84"/>
      <c r="F69" s="84"/>
      <c r="G69" s="84"/>
      <c r="H69" s="84"/>
      <c r="I69" s="84"/>
    </row>
    <row r="70" spans="1:9" x14ac:dyDescent="0.25">
      <c r="A70" s="32" t="s">
        <v>140</v>
      </c>
      <c r="B70" s="33"/>
      <c r="C70" s="33"/>
      <c r="D70" s="130"/>
      <c r="E70" s="130"/>
      <c r="F70" s="33"/>
      <c r="G70" s="33"/>
      <c r="H70" s="33"/>
      <c r="I70" s="33"/>
    </row>
    <row r="71" spans="1:9" x14ac:dyDescent="0.25">
      <c r="A71" s="33" t="s">
        <v>75</v>
      </c>
      <c r="B71" s="88"/>
      <c r="C71" s="88"/>
      <c r="D71" s="131"/>
      <c r="E71" s="110">
        <v>36033243</v>
      </c>
      <c r="F71" s="88"/>
      <c r="G71" s="88"/>
      <c r="H71" s="88"/>
      <c r="I71" s="35">
        <f>SUM(B71:H71)</f>
        <v>36033243</v>
      </c>
    </row>
    <row r="72" spans="1:9" x14ac:dyDescent="0.25">
      <c r="A72" s="33" t="s">
        <v>56</v>
      </c>
      <c r="B72" s="88"/>
      <c r="C72" s="88"/>
      <c r="D72" s="129"/>
      <c r="E72" s="111"/>
      <c r="F72" s="88"/>
      <c r="G72" s="88"/>
      <c r="H72" s="88"/>
      <c r="I72" s="35">
        <f t="shared" ref="I72:I78" si="5">SUM(B72:H72)</f>
        <v>0</v>
      </c>
    </row>
    <row r="73" spans="1:9" x14ac:dyDescent="0.25">
      <c r="A73" s="33" t="s">
        <v>141</v>
      </c>
      <c r="B73" s="88"/>
      <c r="C73" s="88"/>
      <c r="D73" s="129"/>
      <c r="E73" s="111"/>
      <c r="F73" s="88"/>
      <c r="G73" s="88"/>
      <c r="H73" s="88"/>
      <c r="I73" s="35">
        <f t="shared" si="5"/>
        <v>0</v>
      </c>
    </row>
    <row r="74" spans="1:9" x14ac:dyDescent="0.25">
      <c r="A74" s="33" t="s">
        <v>136</v>
      </c>
      <c r="B74" s="88"/>
      <c r="C74" s="88"/>
      <c r="D74" s="129"/>
      <c r="E74" s="111"/>
      <c r="F74" s="88"/>
      <c r="G74" s="88"/>
      <c r="H74" s="88"/>
      <c r="I74" s="35">
        <f t="shared" si="5"/>
        <v>0</v>
      </c>
    </row>
    <row r="75" spans="1:9" x14ac:dyDescent="0.25">
      <c r="A75" s="33" t="s">
        <v>142</v>
      </c>
      <c r="B75" s="88"/>
      <c r="C75" s="88"/>
      <c r="D75" s="131"/>
      <c r="E75" s="110">
        <v>1804764</v>
      </c>
      <c r="F75" s="88"/>
      <c r="G75" s="88"/>
      <c r="H75" s="88"/>
      <c r="I75" s="35">
        <f t="shared" si="5"/>
        <v>1804764</v>
      </c>
    </row>
    <row r="76" spans="1:9" x14ac:dyDescent="0.25">
      <c r="A76" s="33" t="s">
        <v>76</v>
      </c>
      <c r="B76" s="88"/>
      <c r="C76" s="88"/>
      <c r="D76" s="129"/>
      <c r="E76" s="129"/>
      <c r="F76" s="88"/>
      <c r="G76" s="88"/>
      <c r="H76" s="35"/>
      <c r="I76" s="35">
        <f t="shared" si="5"/>
        <v>0</v>
      </c>
    </row>
    <row r="77" spans="1:9" x14ac:dyDescent="0.25">
      <c r="A77" s="33" t="s">
        <v>143</v>
      </c>
      <c r="B77" s="88"/>
      <c r="C77" s="88"/>
      <c r="D77" s="129"/>
      <c r="E77" s="129"/>
      <c r="F77" s="88"/>
      <c r="G77" s="88"/>
      <c r="H77" s="35"/>
      <c r="I77" s="35">
        <f t="shared" si="5"/>
        <v>0</v>
      </c>
    </row>
    <row r="78" spans="1:9" x14ac:dyDescent="0.25">
      <c r="A78" s="32" t="s">
        <v>158</v>
      </c>
      <c r="B78" s="226">
        <f t="shared" ref="B78:C78" si="6">SUM(B71:C77)</f>
        <v>0</v>
      </c>
      <c r="C78" s="226">
        <f t="shared" si="6"/>
        <v>0</v>
      </c>
      <c r="D78" s="226">
        <f>SUM(D71:D77)</f>
        <v>0</v>
      </c>
      <c r="E78" s="226">
        <f t="shared" ref="E78:H78" si="7">SUM(E71:E77)</f>
        <v>37838007</v>
      </c>
      <c r="F78" s="226">
        <f t="shared" si="7"/>
        <v>0</v>
      </c>
      <c r="G78" s="226">
        <f t="shared" si="7"/>
        <v>0</v>
      </c>
      <c r="H78" s="226">
        <f t="shared" si="7"/>
        <v>0</v>
      </c>
      <c r="I78" s="36">
        <f t="shared" si="5"/>
        <v>37838007</v>
      </c>
    </row>
    <row r="79" spans="1:9" s="37" customFormat="1" x14ac:dyDescent="0.25">
      <c r="A79" s="69" t="s">
        <v>144</v>
      </c>
      <c r="B79" s="76"/>
      <c r="C79" s="76"/>
      <c r="D79" s="76"/>
      <c r="E79" s="76"/>
      <c r="F79" s="76"/>
      <c r="G79" s="76"/>
      <c r="H79" s="76"/>
      <c r="I79" s="107"/>
    </row>
    <row r="80" spans="1:9" s="37" customFormat="1" x14ac:dyDescent="0.25">
      <c r="A80" s="69" t="s">
        <v>145</v>
      </c>
      <c r="B80" s="76"/>
      <c r="C80" s="76"/>
      <c r="D80" s="76"/>
      <c r="E80" s="76"/>
      <c r="F80" s="76"/>
      <c r="G80" s="76"/>
      <c r="H80" s="76"/>
      <c r="I80" s="107"/>
    </row>
    <row r="81" spans="1:9" s="37" customFormat="1" x14ac:dyDescent="0.25">
      <c r="A81" s="69" t="s">
        <v>146</v>
      </c>
      <c r="B81" s="76"/>
      <c r="C81" s="76"/>
      <c r="D81" s="76"/>
      <c r="E81" s="76"/>
      <c r="F81" s="76"/>
      <c r="G81" s="76"/>
      <c r="H81" s="76"/>
      <c r="I81" s="107"/>
    </row>
    <row r="82" spans="1:9" s="37" customFormat="1" x14ac:dyDescent="0.25">
      <c r="A82" s="69" t="s">
        <v>147</v>
      </c>
      <c r="B82" s="76"/>
      <c r="C82" s="76"/>
      <c r="D82" s="76"/>
      <c r="E82" s="76"/>
      <c r="F82" s="76"/>
      <c r="G82" s="76"/>
      <c r="H82" s="76"/>
      <c r="I82" s="107"/>
    </row>
    <row r="83" spans="1:9" s="37" customFormat="1" x14ac:dyDescent="0.25">
      <c r="A83" s="69" t="s">
        <v>148</v>
      </c>
      <c r="B83" s="76"/>
      <c r="C83" s="76"/>
      <c r="D83" s="76"/>
      <c r="E83" s="76"/>
      <c r="F83" s="76"/>
      <c r="G83" s="76"/>
      <c r="H83" s="76"/>
      <c r="I83" s="107"/>
    </row>
    <row r="84" spans="1:9" s="37" customFormat="1" x14ac:dyDescent="0.25">
      <c r="A84" s="69" t="s">
        <v>149</v>
      </c>
      <c r="B84" s="76"/>
      <c r="C84" s="76"/>
      <c r="D84" s="76"/>
      <c r="E84" s="76"/>
      <c r="F84" s="76"/>
      <c r="G84" s="76"/>
      <c r="H84" s="76"/>
      <c r="I84" s="107"/>
    </row>
    <row r="85" spans="1:9" s="37" customFormat="1" x14ac:dyDescent="0.25">
      <c r="A85" s="69"/>
      <c r="B85" s="76"/>
      <c r="C85" s="76"/>
      <c r="D85" s="76"/>
      <c r="E85" s="76"/>
      <c r="F85" s="76"/>
      <c r="G85" s="76"/>
      <c r="H85" s="76"/>
      <c r="I85" s="107"/>
    </row>
    <row r="86" spans="1:9" s="37" customFormat="1" x14ac:dyDescent="0.25">
      <c r="A86" s="69"/>
      <c r="B86" s="76"/>
      <c r="C86" s="76"/>
      <c r="D86" s="76"/>
      <c r="E86" s="76"/>
      <c r="F86" s="76"/>
      <c r="G86" s="76"/>
      <c r="H86" s="76"/>
      <c r="I86" s="107"/>
    </row>
    <row r="87" spans="1:9" s="37" customFormat="1" x14ac:dyDescent="0.25">
      <c r="A87" s="69"/>
      <c r="B87" s="76"/>
      <c r="C87" s="76"/>
      <c r="D87" s="76"/>
      <c r="E87" s="76"/>
      <c r="F87" s="76"/>
      <c r="G87" s="76"/>
      <c r="H87" s="76"/>
      <c r="I87" s="107"/>
    </row>
    <row r="88" spans="1:9" s="76" customFormat="1" hidden="1" x14ac:dyDescent="0.25"/>
    <row r="89" spans="1:9" s="76" customFormat="1" hidden="1" x14ac:dyDescent="0.25"/>
    <row r="90" spans="1:9" s="76" customFormat="1" hidden="1" x14ac:dyDescent="0.25"/>
    <row r="91" spans="1:9" s="76" customFormat="1" hidden="1" x14ac:dyDescent="0.25">
      <c r="A91" s="255" t="s">
        <v>39</v>
      </c>
      <c r="B91" s="256"/>
      <c r="C91" s="256"/>
      <c r="D91" s="256"/>
      <c r="E91" s="256"/>
      <c r="F91" s="256"/>
      <c r="G91" s="256"/>
      <c r="H91" s="256"/>
      <c r="I91" s="257"/>
    </row>
    <row r="92" spans="1:9" s="76" customFormat="1" hidden="1" x14ac:dyDescent="0.25">
      <c r="A92" s="255" t="s">
        <v>228</v>
      </c>
      <c r="B92" s="256"/>
      <c r="C92" s="256"/>
      <c r="D92" s="256"/>
      <c r="E92" s="256"/>
      <c r="F92" s="256"/>
      <c r="G92" s="256"/>
      <c r="H92" s="256"/>
      <c r="I92" s="257"/>
    </row>
    <row r="93" spans="1:9" s="76" customFormat="1" hidden="1" x14ac:dyDescent="0.25">
      <c r="A93" s="255" t="s">
        <v>254</v>
      </c>
      <c r="B93" s="256"/>
      <c r="C93" s="256"/>
      <c r="D93" s="256"/>
      <c r="E93" s="256"/>
      <c r="F93" s="256"/>
      <c r="G93" s="256"/>
      <c r="H93" s="256"/>
      <c r="I93" s="257"/>
    </row>
    <row r="94" spans="1:9" s="76" customFormat="1" hidden="1" x14ac:dyDescent="0.25">
      <c r="A94" s="255"/>
      <c r="B94" s="256"/>
      <c r="C94" s="256"/>
      <c r="D94" s="256"/>
      <c r="E94" s="256"/>
      <c r="F94" s="256"/>
      <c r="G94" s="256"/>
      <c r="H94" s="256"/>
      <c r="I94" s="257"/>
    </row>
    <row r="95" spans="1:9" s="9" customFormat="1" ht="18.75" hidden="1" customHeight="1" x14ac:dyDescent="0.25">
      <c r="A95" s="169" t="s">
        <v>266</v>
      </c>
      <c r="B95" s="170"/>
      <c r="C95" s="170"/>
      <c r="D95" s="170"/>
      <c r="E95" s="170"/>
      <c r="F95" s="170"/>
      <c r="G95" s="170"/>
      <c r="H95" s="170"/>
      <c r="I95" s="171"/>
    </row>
    <row r="96" spans="1:9" s="9" customFormat="1" hidden="1" x14ac:dyDescent="0.25">
      <c r="A96" s="172" t="s">
        <v>229</v>
      </c>
      <c r="B96" s="173" t="s">
        <v>233</v>
      </c>
      <c r="C96" s="173" t="s">
        <v>150</v>
      </c>
      <c r="D96" s="173" t="s">
        <v>153</v>
      </c>
      <c r="E96" s="173" t="s">
        <v>154</v>
      </c>
      <c r="F96" s="173" t="s">
        <v>156</v>
      </c>
      <c r="G96" s="173" t="s">
        <v>157</v>
      </c>
      <c r="H96" s="173" t="s">
        <v>58</v>
      </c>
      <c r="I96" s="173" t="s">
        <v>130</v>
      </c>
    </row>
    <row r="97" spans="1:9" s="9" customFormat="1" hidden="1" x14ac:dyDescent="0.25">
      <c r="A97" s="174"/>
      <c r="B97" s="175"/>
      <c r="C97" s="175" t="s">
        <v>151</v>
      </c>
      <c r="D97" s="175"/>
      <c r="E97" s="175" t="s">
        <v>155</v>
      </c>
      <c r="F97" s="175"/>
      <c r="G97" s="175"/>
      <c r="H97" s="175"/>
      <c r="I97" s="175"/>
    </row>
    <row r="98" spans="1:9" s="9" customFormat="1" hidden="1" x14ac:dyDescent="0.25">
      <c r="A98" s="176"/>
      <c r="B98" s="177"/>
      <c r="C98" s="177" t="s">
        <v>152</v>
      </c>
      <c r="D98" s="177"/>
      <c r="E98" s="177"/>
      <c r="F98" s="177"/>
      <c r="G98" s="177"/>
      <c r="H98" s="177"/>
      <c r="I98" s="177"/>
    </row>
    <row r="99" spans="1:9" s="9" customFormat="1" hidden="1" x14ac:dyDescent="0.25">
      <c r="A99" s="32" t="s">
        <v>133</v>
      </c>
      <c r="B99" s="33"/>
      <c r="C99" s="33"/>
      <c r="D99" s="33"/>
      <c r="E99" s="33"/>
      <c r="F99" s="33"/>
      <c r="G99" s="33"/>
      <c r="H99" s="33"/>
      <c r="I99" s="33"/>
    </row>
    <row r="100" spans="1:9" s="9" customFormat="1" hidden="1" x14ac:dyDescent="0.25">
      <c r="A100" s="33" t="s">
        <v>134</v>
      </c>
      <c r="B100" s="161">
        <v>0</v>
      </c>
      <c r="C100" s="161"/>
      <c r="D100" s="161"/>
      <c r="E100" s="161"/>
      <c r="F100" s="161"/>
      <c r="G100" s="161"/>
      <c r="H100" s="161"/>
      <c r="I100" s="161">
        <f>SUM(B100:H100)</f>
        <v>0</v>
      </c>
    </row>
    <row r="101" spans="1:9" s="9" customFormat="1" hidden="1" x14ac:dyDescent="0.25">
      <c r="A101" s="33" t="s">
        <v>54</v>
      </c>
      <c r="B101" s="161"/>
      <c r="C101" s="161"/>
      <c r="D101" s="161"/>
      <c r="E101" s="161"/>
      <c r="F101" s="161"/>
      <c r="G101" s="161"/>
      <c r="H101" s="161"/>
      <c r="I101" s="161">
        <f t="shared" ref="I101:I109" si="8">SUM(B101:H101)</f>
        <v>0</v>
      </c>
    </row>
    <row r="102" spans="1:9" s="9" customFormat="1" hidden="1" x14ac:dyDescent="0.25">
      <c r="A102" s="33" t="s">
        <v>55</v>
      </c>
      <c r="B102" s="161"/>
      <c r="C102" s="161"/>
      <c r="D102" s="161"/>
      <c r="E102" s="161"/>
      <c r="F102" s="161"/>
      <c r="G102" s="161"/>
      <c r="H102" s="161"/>
      <c r="I102" s="161">
        <f t="shared" si="8"/>
        <v>0</v>
      </c>
    </row>
    <row r="103" spans="1:9" s="9" customFormat="1" hidden="1" x14ac:dyDescent="0.25">
      <c r="A103" s="33" t="s">
        <v>56</v>
      </c>
      <c r="B103" s="161"/>
      <c r="C103" s="161"/>
      <c r="D103" s="161"/>
      <c r="E103" s="161"/>
      <c r="F103" s="161"/>
      <c r="G103" s="161"/>
      <c r="H103" s="161"/>
      <c r="I103" s="161">
        <f t="shared" si="8"/>
        <v>0</v>
      </c>
    </row>
    <row r="104" spans="1:9" s="9" customFormat="1" hidden="1" x14ac:dyDescent="0.25">
      <c r="A104" s="33" t="s">
        <v>135</v>
      </c>
      <c r="B104" s="161"/>
      <c r="C104" s="161"/>
      <c r="D104" s="161"/>
      <c r="E104" s="161"/>
      <c r="F104" s="161"/>
      <c r="G104" s="161"/>
      <c r="H104" s="161"/>
      <c r="I104" s="161">
        <f t="shared" si="8"/>
        <v>0</v>
      </c>
    </row>
    <row r="105" spans="1:9" s="9" customFormat="1" hidden="1" x14ac:dyDescent="0.25">
      <c r="A105" s="33" t="s">
        <v>136</v>
      </c>
      <c r="B105" s="161"/>
      <c r="C105" s="161"/>
      <c r="D105" s="161"/>
      <c r="E105" s="161"/>
      <c r="F105" s="161"/>
      <c r="G105" s="161"/>
      <c r="H105" s="161"/>
      <c r="I105" s="161">
        <f t="shared" si="8"/>
        <v>0</v>
      </c>
    </row>
    <row r="106" spans="1:9" s="9" customFormat="1" hidden="1" x14ac:dyDescent="0.25">
      <c r="A106" s="33" t="s">
        <v>137</v>
      </c>
      <c r="B106" s="161"/>
      <c r="C106" s="161"/>
      <c r="D106" s="161"/>
      <c r="E106" s="161"/>
      <c r="F106" s="161"/>
      <c r="G106" s="161"/>
      <c r="H106" s="161"/>
      <c r="I106" s="161">
        <f t="shared" si="8"/>
        <v>0</v>
      </c>
    </row>
    <row r="107" spans="1:9" s="9" customFormat="1" hidden="1" x14ac:dyDescent="0.25">
      <c r="A107" s="33" t="s">
        <v>184</v>
      </c>
      <c r="B107" s="161"/>
      <c r="C107" s="161"/>
      <c r="D107" s="161"/>
      <c r="E107" s="161"/>
      <c r="F107" s="161"/>
      <c r="G107" s="161"/>
      <c r="H107" s="161"/>
      <c r="I107" s="161">
        <f t="shared" si="8"/>
        <v>0</v>
      </c>
    </row>
    <row r="108" spans="1:9" s="9" customFormat="1" hidden="1" x14ac:dyDescent="0.25">
      <c r="A108" s="33" t="s">
        <v>58</v>
      </c>
      <c r="B108" s="161"/>
      <c r="C108" s="161"/>
      <c r="D108" s="161"/>
      <c r="E108" s="161"/>
      <c r="F108" s="161"/>
      <c r="G108" s="161"/>
      <c r="H108" s="161"/>
      <c r="I108" s="161">
        <f t="shared" si="8"/>
        <v>0</v>
      </c>
    </row>
    <row r="109" spans="1:9" s="9" customFormat="1" hidden="1" x14ac:dyDescent="0.25">
      <c r="A109" s="33" t="s">
        <v>138</v>
      </c>
      <c r="B109" s="161"/>
      <c r="C109" s="161"/>
      <c r="D109" s="192">
        <v>536400655</v>
      </c>
      <c r="E109" s="192"/>
      <c r="F109" s="192">
        <v>254857268</v>
      </c>
      <c r="G109" s="161"/>
      <c r="H109" s="161"/>
      <c r="I109" s="161">
        <f t="shared" si="8"/>
        <v>791257923</v>
      </c>
    </row>
    <row r="110" spans="1:9" s="10" customFormat="1" hidden="1" x14ac:dyDescent="0.25">
      <c r="A110" s="32" t="s">
        <v>139</v>
      </c>
      <c r="B110" s="178"/>
      <c r="C110" s="178"/>
      <c r="D110" s="178">
        <f>SUM(D100:D109)</f>
        <v>536400655</v>
      </c>
      <c r="E110" s="178"/>
      <c r="F110" s="178">
        <f>SUM(F100:F109)</f>
        <v>254857268</v>
      </c>
      <c r="G110" s="178"/>
      <c r="H110" s="178"/>
      <c r="I110" s="178">
        <f>SUM(I100:I109)</f>
        <v>791257923</v>
      </c>
    </row>
    <row r="111" spans="1:9" s="9" customFormat="1" hidden="1" x14ac:dyDescent="0.25">
      <c r="A111" s="104"/>
      <c r="B111" s="179"/>
      <c r="C111" s="179"/>
      <c r="D111" s="179"/>
      <c r="E111" s="179"/>
      <c r="F111" s="179"/>
      <c r="G111" s="179"/>
      <c r="H111" s="179"/>
      <c r="I111" s="180"/>
    </row>
    <row r="112" spans="1:9" s="9" customFormat="1" hidden="1" x14ac:dyDescent="0.25">
      <c r="A112" s="172" t="s">
        <v>229</v>
      </c>
      <c r="B112" s="173" t="s">
        <v>233</v>
      </c>
      <c r="C112" s="173" t="s">
        <v>150</v>
      </c>
      <c r="D112" s="173" t="s">
        <v>153</v>
      </c>
      <c r="E112" s="173" t="s">
        <v>154</v>
      </c>
      <c r="F112" s="173" t="s">
        <v>156</v>
      </c>
      <c r="G112" s="173" t="s">
        <v>157</v>
      </c>
      <c r="H112" s="173" t="s">
        <v>58</v>
      </c>
      <c r="I112" s="173" t="s">
        <v>130</v>
      </c>
    </row>
    <row r="113" spans="1:9" s="9" customFormat="1" hidden="1" x14ac:dyDescent="0.25">
      <c r="A113" s="174"/>
      <c r="B113" s="175"/>
      <c r="C113" s="175" t="s">
        <v>151</v>
      </c>
      <c r="D113" s="175"/>
      <c r="E113" s="175" t="s">
        <v>155</v>
      </c>
      <c r="F113" s="175"/>
      <c r="G113" s="175"/>
      <c r="H113" s="175"/>
      <c r="I113" s="175"/>
    </row>
    <row r="114" spans="1:9" s="9" customFormat="1" hidden="1" x14ac:dyDescent="0.25">
      <c r="A114" s="176"/>
      <c r="B114" s="177"/>
      <c r="C114" s="177" t="s">
        <v>152</v>
      </c>
      <c r="D114" s="177"/>
      <c r="E114" s="177"/>
      <c r="F114" s="177"/>
      <c r="G114" s="177"/>
      <c r="H114" s="177"/>
      <c r="I114" s="177"/>
    </row>
    <row r="115" spans="1:9" s="9" customFormat="1" hidden="1" x14ac:dyDescent="0.25">
      <c r="A115" s="33" t="s">
        <v>75</v>
      </c>
      <c r="B115" s="88"/>
      <c r="C115" s="88"/>
      <c r="D115" s="88"/>
      <c r="E115" s="88"/>
      <c r="F115" s="88"/>
      <c r="G115" s="88"/>
      <c r="H115" s="88"/>
      <c r="I115" s="161">
        <f>SUM(B115:H115)</f>
        <v>0</v>
      </c>
    </row>
    <row r="116" spans="1:9" s="9" customFormat="1" hidden="1" x14ac:dyDescent="0.25">
      <c r="A116" s="33" t="s">
        <v>56</v>
      </c>
      <c r="B116" s="88"/>
      <c r="C116" s="88"/>
      <c r="D116" s="88"/>
      <c r="E116" s="88"/>
      <c r="F116" s="88"/>
      <c r="G116" s="88"/>
      <c r="H116" s="88"/>
      <c r="I116" s="161">
        <f t="shared" ref="I116:I122" si="9">SUM(B116:H116)</f>
        <v>0</v>
      </c>
    </row>
    <row r="117" spans="1:9" s="9" customFormat="1" hidden="1" x14ac:dyDescent="0.25">
      <c r="A117" s="33" t="s">
        <v>141</v>
      </c>
      <c r="B117" s="88"/>
      <c r="C117" s="88"/>
      <c r="D117" s="88"/>
      <c r="E117" s="88"/>
      <c r="F117" s="88"/>
      <c r="G117" s="88"/>
      <c r="H117" s="88"/>
      <c r="I117" s="161">
        <f t="shared" si="9"/>
        <v>0</v>
      </c>
    </row>
    <row r="118" spans="1:9" s="9" customFormat="1" hidden="1" x14ac:dyDescent="0.25">
      <c r="A118" s="33" t="s">
        <v>136</v>
      </c>
      <c r="B118" s="88"/>
      <c r="C118" s="88"/>
      <c r="D118" s="88"/>
      <c r="E118" s="88"/>
      <c r="F118" s="88"/>
      <c r="G118" s="88"/>
      <c r="H118" s="88"/>
      <c r="I118" s="161">
        <f t="shared" si="9"/>
        <v>0</v>
      </c>
    </row>
    <row r="119" spans="1:9" s="9" customFormat="1" hidden="1" x14ac:dyDescent="0.25">
      <c r="A119" s="33" t="s">
        <v>142</v>
      </c>
      <c r="B119" s="88"/>
      <c r="C119" s="88"/>
      <c r="D119" s="88"/>
      <c r="E119" s="88"/>
      <c r="F119" s="88"/>
      <c r="G119" s="88"/>
      <c r="H119" s="88"/>
      <c r="I119" s="161">
        <f t="shared" si="9"/>
        <v>0</v>
      </c>
    </row>
    <row r="120" spans="1:9" s="9" customFormat="1" hidden="1" x14ac:dyDescent="0.25">
      <c r="A120" s="33" t="s">
        <v>76</v>
      </c>
      <c r="B120" s="88"/>
      <c r="C120" s="88"/>
      <c r="D120" s="88"/>
      <c r="E120" s="88"/>
      <c r="F120" s="88"/>
      <c r="G120" s="88"/>
      <c r="H120" s="161"/>
      <c r="I120" s="161">
        <f t="shared" si="9"/>
        <v>0</v>
      </c>
    </row>
    <row r="121" spans="1:9" s="9" customFormat="1" hidden="1" x14ac:dyDescent="0.25">
      <c r="A121" s="33" t="s">
        <v>143</v>
      </c>
      <c r="B121" s="88"/>
      <c r="C121" s="88"/>
      <c r="D121" s="88"/>
      <c r="E121" s="88"/>
      <c r="F121" s="88"/>
      <c r="G121" s="88"/>
      <c r="H121" s="161"/>
      <c r="I121" s="161">
        <f t="shared" si="9"/>
        <v>0</v>
      </c>
    </row>
    <row r="122" spans="1:9" s="9" customFormat="1" hidden="1" x14ac:dyDescent="0.25">
      <c r="A122" s="32" t="s">
        <v>158</v>
      </c>
      <c r="B122" s="38"/>
      <c r="C122" s="38"/>
      <c r="D122" s="38"/>
      <c r="E122" s="38"/>
      <c r="F122" s="38"/>
      <c r="G122" s="38"/>
      <c r="H122" s="178"/>
      <c r="I122" s="178">
        <f t="shared" si="9"/>
        <v>0</v>
      </c>
    </row>
    <row r="123" spans="1:9" s="76" customFormat="1" hidden="1" x14ac:dyDescent="0.25">
      <c r="A123" s="181" t="s">
        <v>144</v>
      </c>
      <c r="B123" s="182"/>
      <c r="C123" s="182"/>
      <c r="D123" s="182"/>
      <c r="E123" s="182"/>
      <c r="F123" s="182"/>
      <c r="G123" s="182"/>
      <c r="H123" s="182"/>
      <c r="I123" s="183"/>
    </row>
    <row r="124" spans="1:9" s="76" customFormat="1" hidden="1" x14ac:dyDescent="0.25">
      <c r="A124" s="181" t="s">
        <v>145</v>
      </c>
      <c r="B124" s="182"/>
      <c r="C124" s="182"/>
      <c r="D124" s="182"/>
      <c r="E124" s="182"/>
      <c r="F124" s="182"/>
      <c r="G124" s="182"/>
      <c r="H124" s="182"/>
      <c r="I124" s="183"/>
    </row>
    <row r="125" spans="1:9" s="76" customFormat="1" hidden="1" x14ac:dyDescent="0.25">
      <c r="A125" s="181" t="s">
        <v>146</v>
      </c>
      <c r="B125" s="182"/>
      <c r="C125" s="182"/>
      <c r="D125" s="182"/>
      <c r="E125" s="182"/>
      <c r="F125" s="182"/>
      <c r="G125" s="182"/>
      <c r="H125" s="182"/>
      <c r="I125" s="183"/>
    </row>
    <row r="126" spans="1:9" s="76" customFormat="1" hidden="1" x14ac:dyDescent="0.25">
      <c r="A126" s="181" t="s">
        <v>147</v>
      </c>
      <c r="B126" s="182"/>
      <c r="C126" s="182"/>
      <c r="D126" s="182"/>
      <c r="E126" s="182"/>
      <c r="F126" s="182"/>
      <c r="G126" s="182"/>
      <c r="H126" s="182"/>
      <c r="I126" s="183"/>
    </row>
    <row r="127" spans="1:9" s="76" customFormat="1" hidden="1" x14ac:dyDescent="0.25">
      <c r="A127" s="181" t="s">
        <v>148</v>
      </c>
      <c r="B127" s="182"/>
      <c r="C127" s="182"/>
      <c r="D127" s="182"/>
      <c r="E127" s="182"/>
      <c r="F127" s="182"/>
      <c r="G127" s="182"/>
      <c r="H127" s="182"/>
      <c r="I127" s="183"/>
    </row>
    <row r="128" spans="1:9" s="76" customFormat="1" ht="12.75" hidden="1" customHeight="1" x14ac:dyDescent="0.25">
      <c r="A128" s="181" t="s">
        <v>149</v>
      </c>
      <c r="B128" s="182"/>
      <c r="C128" s="182"/>
      <c r="D128" s="182"/>
      <c r="E128" s="182"/>
      <c r="F128" s="182"/>
      <c r="G128" s="182"/>
      <c r="H128" s="182"/>
      <c r="I128" s="183"/>
    </row>
    <row r="129" spans="1:9" s="76" customFormat="1" ht="12.75" hidden="1" customHeight="1" x14ac:dyDescent="0.25">
      <c r="A129" s="181"/>
      <c r="B129" s="182"/>
      <c r="C129" s="182"/>
      <c r="D129" s="182"/>
      <c r="E129" s="182"/>
      <c r="F129" s="182"/>
      <c r="G129" s="182"/>
      <c r="H129" s="182"/>
      <c r="I129" s="183"/>
    </row>
    <row r="130" spans="1:9" s="76" customFormat="1" ht="12.75" hidden="1" customHeight="1" x14ac:dyDescent="0.25">
      <c r="A130" s="181"/>
      <c r="B130" s="182"/>
      <c r="C130" s="182"/>
      <c r="D130" s="182"/>
      <c r="E130" s="182"/>
      <c r="F130" s="182"/>
      <c r="G130" s="182"/>
      <c r="H130" s="182"/>
      <c r="I130" s="183"/>
    </row>
    <row r="131" spans="1:9" s="76" customFormat="1" ht="12.75" hidden="1" customHeight="1" thickBot="1" x14ac:dyDescent="0.3">
      <c r="A131" s="184"/>
      <c r="B131" s="185"/>
      <c r="C131" s="185"/>
      <c r="D131" s="185"/>
      <c r="E131" s="185"/>
      <c r="F131" s="185"/>
      <c r="G131" s="185"/>
      <c r="H131" s="185"/>
      <c r="I131" s="186"/>
    </row>
    <row r="132" spans="1:9" s="76" customFormat="1" ht="12.75" hidden="1" customHeight="1" thickTop="1" x14ac:dyDescent="0.25">
      <c r="A132" s="181"/>
      <c r="B132" s="182"/>
      <c r="C132" s="182"/>
      <c r="D132" s="182"/>
      <c r="E132" s="182"/>
      <c r="F132" s="182"/>
      <c r="G132" s="182"/>
      <c r="H132" s="182"/>
      <c r="I132" s="183"/>
    </row>
    <row r="133" spans="1:9" s="76" customFormat="1" ht="12.75" hidden="1" customHeight="1" x14ac:dyDescent="0.25">
      <c r="A133" s="181"/>
      <c r="B133" s="182"/>
      <c r="C133" s="182"/>
      <c r="D133" s="182"/>
      <c r="E133" s="182"/>
      <c r="F133" s="182"/>
      <c r="G133" s="182"/>
      <c r="H133" s="182"/>
      <c r="I133" s="183"/>
    </row>
    <row r="134" spans="1:9" s="76" customFormat="1" ht="12.75" hidden="1" customHeight="1" x14ac:dyDescent="0.25">
      <c r="A134" s="181"/>
      <c r="B134" s="182"/>
      <c r="C134" s="182"/>
      <c r="D134" s="182"/>
      <c r="E134" s="182"/>
      <c r="F134" s="182"/>
      <c r="G134" s="182"/>
      <c r="H134" s="182"/>
      <c r="I134" s="183"/>
    </row>
    <row r="135" spans="1:9" s="76" customFormat="1" hidden="1" x14ac:dyDescent="0.25">
      <c r="A135" s="255" t="s">
        <v>39</v>
      </c>
      <c r="B135" s="256"/>
      <c r="C135" s="256"/>
      <c r="D135" s="256"/>
      <c r="E135" s="256"/>
      <c r="F135" s="256"/>
      <c r="G135" s="256"/>
      <c r="H135" s="256"/>
      <c r="I135" s="257"/>
    </row>
    <row r="136" spans="1:9" s="76" customFormat="1" hidden="1" x14ac:dyDescent="0.25">
      <c r="A136" s="255" t="s">
        <v>228</v>
      </c>
      <c r="B136" s="256"/>
      <c r="C136" s="256"/>
      <c r="D136" s="256"/>
      <c r="E136" s="256"/>
      <c r="F136" s="256"/>
      <c r="G136" s="256"/>
      <c r="H136" s="256"/>
      <c r="I136" s="257"/>
    </row>
    <row r="137" spans="1:9" s="76" customFormat="1" hidden="1" x14ac:dyDescent="0.25">
      <c r="A137" s="255" t="s">
        <v>255</v>
      </c>
      <c r="B137" s="256"/>
      <c r="C137" s="256"/>
      <c r="D137" s="256"/>
      <c r="E137" s="256"/>
      <c r="F137" s="256"/>
      <c r="G137" s="256"/>
      <c r="H137" s="256"/>
      <c r="I137" s="257"/>
    </row>
    <row r="138" spans="1:9" s="76" customFormat="1" hidden="1" x14ac:dyDescent="0.25">
      <c r="A138" s="255"/>
      <c r="B138" s="256"/>
      <c r="C138" s="256"/>
      <c r="D138" s="256"/>
      <c r="E138" s="256"/>
      <c r="F138" s="256"/>
      <c r="G138" s="256"/>
      <c r="H138" s="256"/>
      <c r="I138" s="257"/>
    </row>
    <row r="139" spans="1:9" s="9" customFormat="1" ht="19.5" hidden="1" customHeight="1" x14ac:dyDescent="0.25">
      <c r="A139" s="169" t="s">
        <v>267</v>
      </c>
      <c r="B139" s="170"/>
      <c r="C139" s="170"/>
      <c r="D139" s="170"/>
      <c r="E139" s="170"/>
      <c r="F139" s="170"/>
      <c r="G139" s="170"/>
      <c r="H139" s="170"/>
      <c r="I139" s="171"/>
    </row>
    <row r="140" spans="1:9" s="9" customFormat="1" hidden="1" x14ac:dyDescent="0.25">
      <c r="A140" s="172" t="s">
        <v>229</v>
      </c>
      <c r="B140" s="173" t="s">
        <v>233</v>
      </c>
      <c r="C140" s="173" t="s">
        <v>150</v>
      </c>
      <c r="D140" s="173" t="s">
        <v>153</v>
      </c>
      <c r="E140" s="173" t="s">
        <v>154</v>
      </c>
      <c r="F140" s="173" t="s">
        <v>156</v>
      </c>
      <c r="G140" s="173" t="s">
        <v>157</v>
      </c>
      <c r="H140" s="173" t="s">
        <v>58</v>
      </c>
      <c r="I140" s="173" t="s">
        <v>130</v>
      </c>
    </row>
    <row r="141" spans="1:9" s="9" customFormat="1" hidden="1" x14ac:dyDescent="0.25">
      <c r="A141" s="174"/>
      <c r="B141" s="175"/>
      <c r="C141" s="175" t="s">
        <v>151</v>
      </c>
      <c r="D141" s="175"/>
      <c r="E141" s="175" t="s">
        <v>155</v>
      </c>
      <c r="F141" s="175"/>
      <c r="G141" s="175"/>
      <c r="H141" s="175"/>
      <c r="I141" s="175"/>
    </row>
    <row r="142" spans="1:9" s="9" customFormat="1" hidden="1" x14ac:dyDescent="0.25">
      <c r="A142" s="176"/>
      <c r="B142" s="177"/>
      <c r="C142" s="177" t="s">
        <v>152</v>
      </c>
      <c r="D142" s="177"/>
      <c r="E142" s="177"/>
      <c r="F142" s="177"/>
      <c r="G142" s="177"/>
      <c r="H142" s="177"/>
      <c r="I142" s="177"/>
    </row>
    <row r="143" spans="1:9" s="9" customFormat="1" hidden="1" x14ac:dyDescent="0.25">
      <c r="A143" s="32" t="s">
        <v>133</v>
      </c>
      <c r="B143" s="33"/>
      <c r="C143" s="33"/>
      <c r="D143" s="33"/>
      <c r="E143" s="33"/>
      <c r="F143" s="33"/>
      <c r="G143" s="33"/>
      <c r="H143" s="33"/>
      <c r="I143" s="33"/>
    </row>
    <row r="144" spans="1:9" s="9" customFormat="1" hidden="1" x14ac:dyDescent="0.25">
      <c r="A144" s="33" t="s">
        <v>134</v>
      </c>
      <c r="B144" s="161">
        <v>0</v>
      </c>
      <c r="C144" s="161"/>
      <c r="D144" s="161"/>
      <c r="E144" s="161"/>
      <c r="F144" s="161"/>
      <c r="G144" s="161"/>
      <c r="H144" s="161"/>
      <c r="I144" s="161">
        <f>SUM(B144:H144)</f>
        <v>0</v>
      </c>
    </row>
    <row r="145" spans="1:9" s="9" customFormat="1" hidden="1" x14ac:dyDescent="0.25">
      <c r="A145" s="33" t="s">
        <v>54</v>
      </c>
      <c r="B145" s="161"/>
      <c r="C145" s="161"/>
      <c r="D145" s="161"/>
      <c r="E145" s="161"/>
      <c r="F145" s="161"/>
      <c r="G145" s="161"/>
      <c r="H145" s="161"/>
      <c r="I145" s="161">
        <f t="shared" ref="I145:I153" si="10">SUM(B145:H145)</f>
        <v>0</v>
      </c>
    </row>
    <row r="146" spans="1:9" s="9" customFormat="1" hidden="1" x14ac:dyDescent="0.25">
      <c r="A146" s="33" t="s">
        <v>55</v>
      </c>
      <c r="B146" s="161"/>
      <c r="C146" s="161"/>
      <c r="D146" s="161"/>
      <c r="E146" s="161"/>
      <c r="F146" s="161"/>
      <c r="G146" s="161"/>
      <c r="H146" s="161"/>
      <c r="I146" s="161">
        <f t="shared" si="10"/>
        <v>0</v>
      </c>
    </row>
    <row r="147" spans="1:9" s="9" customFormat="1" hidden="1" x14ac:dyDescent="0.25">
      <c r="A147" s="33" t="s">
        <v>56</v>
      </c>
      <c r="B147" s="161"/>
      <c r="C147" s="161"/>
      <c r="D147" s="161"/>
      <c r="E147" s="161"/>
      <c r="F147" s="161"/>
      <c r="G147" s="161"/>
      <c r="H147" s="161"/>
      <c r="I147" s="161">
        <f t="shared" si="10"/>
        <v>0</v>
      </c>
    </row>
    <row r="148" spans="1:9" s="9" customFormat="1" hidden="1" x14ac:dyDescent="0.25">
      <c r="A148" s="33" t="s">
        <v>135</v>
      </c>
      <c r="B148" s="161"/>
      <c r="C148" s="161"/>
      <c r="D148" s="161"/>
      <c r="E148" s="161"/>
      <c r="F148" s="161"/>
      <c r="G148" s="161"/>
      <c r="H148" s="161"/>
      <c r="I148" s="161">
        <f t="shared" si="10"/>
        <v>0</v>
      </c>
    </row>
    <row r="149" spans="1:9" s="9" customFormat="1" hidden="1" x14ac:dyDescent="0.25">
      <c r="A149" s="33" t="s">
        <v>136</v>
      </c>
      <c r="B149" s="161"/>
      <c r="C149" s="161"/>
      <c r="D149" s="161"/>
      <c r="E149" s="161"/>
      <c r="F149" s="161"/>
      <c r="G149" s="161"/>
      <c r="H149" s="161"/>
      <c r="I149" s="161">
        <f t="shared" si="10"/>
        <v>0</v>
      </c>
    </row>
    <row r="150" spans="1:9" s="9" customFormat="1" hidden="1" x14ac:dyDescent="0.25">
      <c r="A150" s="33" t="s">
        <v>137</v>
      </c>
      <c r="B150" s="161"/>
      <c r="C150" s="161"/>
      <c r="D150" s="161"/>
      <c r="E150" s="161"/>
      <c r="F150" s="161"/>
      <c r="G150" s="161"/>
      <c r="H150" s="161"/>
      <c r="I150" s="161">
        <f t="shared" si="10"/>
        <v>0</v>
      </c>
    </row>
    <row r="151" spans="1:9" s="9" customFormat="1" hidden="1" x14ac:dyDescent="0.25">
      <c r="A151" s="33" t="s">
        <v>184</v>
      </c>
      <c r="B151" s="161"/>
      <c r="C151" s="161"/>
      <c r="D151" s="161"/>
      <c r="E151" s="161"/>
      <c r="F151" s="161"/>
      <c r="G151" s="161"/>
      <c r="H151" s="161"/>
      <c r="I151" s="161">
        <f t="shared" si="10"/>
        <v>0</v>
      </c>
    </row>
    <row r="152" spans="1:9" s="9" customFormat="1" hidden="1" x14ac:dyDescent="0.25">
      <c r="A152" s="33" t="s">
        <v>58</v>
      </c>
      <c r="B152" s="161"/>
      <c r="C152" s="161"/>
      <c r="D152" s="161"/>
      <c r="E152" s="161"/>
      <c r="F152" s="161"/>
      <c r="G152" s="161"/>
      <c r="H152" s="161"/>
      <c r="I152" s="161">
        <f t="shared" si="10"/>
        <v>0</v>
      </c>
    </row>
    <row r="153" spans="1:9" s="9" customFormat="1" hidden="1" x14ac:dyDescent="0.25">
      <c r="A153" s="33" t="s">
        <v>138</v>
      </c>
      <c r="B153" s="161"/>
      <c r="C153" s="161"/>
      <c r="D153" s="192">
        <f>537363069+22004679+5108396</f>
        <v>564476144</v>
      </c>
      <c r="E153" s="192"/>
      <c r="F153" s="192">
        <f>220252177+3193108+4492476</f>
        <v>227937761</v>
      </c>
      <c r="G153" s="161"/>
      <c r="H153" s="161"/>
      <c r="I153" s="161">
        <f t="shared" si="10"/>
        <v>792413905</v>
      </c>
    </row>
    <row r="154" spans="1:9" s="10" customFormat="1" hidden="1" x14ac:dyDescent="0.25">
      <c r="A154" s="32" t="s">
        <v>139</v>
      </c>
      <c r="B154" s="178"/>
      <c r="C154" s="178"/>
      <c r="D154" s="178">
        <f>SUM(D144:D153)</f>
        <v>564476144</v>
      </c>
      <c r="E154" s="178"/>
      <c r="F154" s="178">
        <f>SUM(F144:F153)</f>
        <v>227937761</v>
      </c>
      <c r="G154" s="178"/>
      <c r="H154" s="178"/>
      <c r="I154" s="178">
        <f>SUM(I144:I153)</f>
        <v>792413905</v>
      </c>
    </row>
    <row r="155" spans="1:9" s="9" customFormat="1" ht="18" hidden="1" customHeight="1" x14ac:dyDescent="0.25">
      <c r="A155" s="104"/>
      <c r="B155" s="179"/>
      <c r="C155" s="179"/>
      <c r="D155" s="179"/>
      <c r="E155" s="179"/>
      <c r="F155" s="179"/>
      <c r="G155" s="179"/>
      <c r="H155" s="179"/>
      <c r="I155" s="180"/>
    </row>
    <row r="156" spans="1:9" s="9" customFormat="1" hidden="1" x14ac:dyDescent="0.25">
      <c r="A156" s="172" t="s">
        <v>229</v>
      </c>
      <c r="B156" s="173" t="s">
        <v>233</v>
      </c>
      <c r="C156" s="173" t="s">
        <v>150</v>
      </c>
      <c r="D156" s="173" t="s">
        <v>153</v>
      </c>
      <c r="E156" s="173" t="s">
        <v>154</v>
      </c>
      <c r="F156" s="173" t="s">
        <v>156</v>
      </c>
      <c r="G156" s="173" t="s">
        <v>157</v>
      </c>
      <c r="H156" s="173" t="s">
        <v>58</v>
      </c>
      <c r="I156" s="173" t="s">
        <v>130</v>
      </c>
    </row>
    <row r="157" spans="1:9" s="9" customFormat="1" hidden="1" x14ac:dyDescent="0.25">
      <c r="A157" s="174"/>
      <c r="B157" s="175"/>
      <c r="C157" s="175" t="s">
        <v>151</v>
      </c>
      <c r="D157" s="175"/>
      <c r="E157" s="175" t="s">
        <v>155</v>
      </c>
      <c r="F157" s="175"/>
      <c r="G157" s="175"/>
      <c r="H157" s="175"/>
      <c r="I157" s="175"/>
    </row>
    <row r="158" spans="1:9" s="9" customFormat="1" hidden="1" x14ac:dyDescent="0.25">
      <c r="A158" s="176"/>
      <c r="B158" s="177"/>
      <c r="C158" s="177" t="s">
        <v>152</v>
      </c>
      <c r="D158" s="177"/>
      <c r="E158" s="177"/>
      <c r="F158" s="177"/>
      <c r="G158" s="177"/>
      <c r="H158" s="177"/>
      <c r="I158" s="177"/>
    </row>
    <row r="159" spans="1:9" s="9" customFormat="1" hidden="1" x14ac:dyDescent="0.25">
      <c r="A159" s="32" t="s">
        <v>140</v>
      </c>
      <c r="B159" s="33"/>
      <c r="C159" s="33"/>
      <c r="D159" s="77"/>
      <c r="E159" s="33"/>
      <c r="F159" s="33"/>
      <c r="G159" s="33"/>
      <c r="H159" s="33"/>
      <c r="I159" s="33"/>
    </row>
    <row r="160" spans="1:9" s="9" customFormat="1" hidden="1" x14ac:dyDescent="0.25">
      <c r="A160" s="33" t="s">
        <v>75</v>
      </c>
      <c r="B160" s="88"/>
      <c r="C160" s="88"/>
      <c r="D160" s="187"/>
      <c r="E160" s="88"/>
      <c r="F160" s="88"/>
      <c r="G160" s="88"/>
      <c r="H160" s="88"/>
      <c r="I160" s="161">
        <f>SUM(B160:H160)</f>
        <v>0</v>
      </c>
    </row>
    <row r="161" spans="1:9" s="9" customFormat="1" hidden="1" x14ac:dyDescent="0.25">
      <c r="A161" s="33" t="s">
        <v>56</v>
      </c>
      <c r="B161" s="88"/>
      <c r="C161" s="88"/>
      <c r="D161" s="111"/>
      <c r="E161" s="88"/>
      <c r="F161" s="88"/>
      <c r="G161" s="88"/>
      <c r="H161" s="88"/>
      <c r="I161" s="161">
        <f t="shared" ref="I161:I167" si="11">SUM(B161:H161)</f>
        <v>0</v>
      </c>
    </row>
    <row r="162" spans="1:9" s="9" customFormat="1" hidden="1" x14ac:dyDescent="0.25">
      <c r="A162" s="33" t="s">
        <v>141</v>
      </c>
      <c r="B162" s="88"/>
      <c r="C162" s="88"/>
      <c r="D162" s="111"/>
      <c r="E162" s="88"/>
      <c r="F162" s="88"/>
      <c r="G162" s="88"/>
      <c r="H162" s="88"/>
      <c r="I162" s="161">
        <f t="shared" si="11"/>
        <v>0</v>
      </c>
    </row>
    <row r="163" spans="1:9" s="9" customFormat="1" hidden="1" x14ac:dyDescent="0.25">
      <c r="A163" s="33" t="s">
        <v>136</v>
      </c>
      <c r="B163" s="88"/>
      <c r="C163" s="88"/>
      <c r="D163" s="111"/>
      <c r="E163" s="88"/>
      <c r="F163" s="88"/>
      <c r="G163" s="88"/>
      <c r="H163" s="88"/>
      <c r="I163" s="161">
        <f t="shared" si="11"/>
        <v>0</v>
      </c>
    </row>
    <row r="164" spans="1:9" s="9" customFormat="1" hidden="1" x14ac:dyDescent="0.25">
      <c r="A164" s="33" t="s">
        <v>142</v>
      </c>
      <c r="B164" s="88"/>
      <c r="C164" s="88"/>
      <c r="D164" s="187"/>
      <c r="E164" s="88"/>
      <c r="F164" s="88"/>
      <c r="G164" s="88"/>
      <c r="H164" s="88"/>
      <c r="I164" s="161">
        <f t="shared" si="11"/>
        <v>0</v>
      </c>
    </row>
    <row r="165" spans="1:9" s="9" customFormat="1" hidden="1" x14ac:dyDescent="0.25">
      <c r="A165" s="33" t="s">
        <v>76</v>
      </c>
      <c r="B165" s="88"/>
      <c r="C165" s="88"/>
      <c r="D165" s="111"/>
      <c r="E165" s="88"/>
      <c r="F165" s="88"/>
      <c r="G165" s="88"/>
      <c r="H165" s="161"/>
      <c r="I165" s="161">
        <f t="shared" si="11"/>
        <v>0</v>
      </c>
    </row>
    <row r="166" spans="1:9" s="9" customFormat="1" hidden="1" x14ac:dyDescent="0.25">
      <c r="A166" s="33" t="s">
        <v>143</v>
      </c>
      <c r="B166" s="88"/>
      <c r="C166" s="88"/>
      <c r="D166" s="111"/>
      <c r="E166" s="88"/>
      <c r="F166" s="88"/>
      <c r="G166" s="88"/>
      <c r="H166" s="161"/>
      <c r="I166" s="161">
        <f t="shared" si="11"/>
        <v>0</v>
      </c>
    </row>
    <row r="167" spans="1:9" s="9" customFormat="1" ht="12" hidden="1" customHeight="1" x14ac:dyDescent="0.25">
      <c r="A167" s="32" t="s">
        <v>158</v>
      </c>
      <c r="B167" s="38"/>
      <c r="C167" s="38"/>
      <c r="D167" s="188"/>
      <c r="E167" s="38"/>
      <c r="F167" s="38"/>
      <c r="G167" s="38"/>
      <c r="H167" s="178"/>
      <c r="I167" s="178">
        <f t="shared" si="11"/>
        <v>0</v>
      </c>
    </row>
    <row r="168" spans="1:9" s="76" customFormat="1" hidden="1" x14ac:dyDescent="0.25">
      <c r="A168" s="181" t="s">
        <v>144</v>
      </c>
      <c r="B168" s="182"/>
      <c r="C168" s="182"/>
      <c r="D168" s="182"/>
      <c r="E168" s="182"/>
      <c r="F168" s="182"/>
      <c r="G168" s="182"/>
      <c r="H168" s="182"/>
      <c r="I168" s="183"/>
    </row>
    <row r="169" spans="1:9" s="76" customFormat="1" hidden="1" x14ac:dyDescent="0.25">
      <c r="A169" s="181" t="s">
        <v>145</v>
      </c>
      <c r="B169" s="182"/>
      <c r="C169" s="182"/>
      <c r="D169" s="182"/>
      <c r="E169" s="182"/>
      <c r="F169" s="182"/>
      <c r="G169" s="182"/>
      <c r="H169" s="182"/>
      <c r="I169" s="183"/>
    </row>
    <row r="170" spans="1:9" s="76" customFormat="1" hidden="1" x14ac:dyDescent="0.25">
      <c r="A170" s="181" t="s">
        <v>146</v>
      </c>
      <c r="B170" s="182"/>
      <c r="C170" s="182"/>
      <c r="D170" s="182"/>
      <c r="E170" s="182"/>
      <c r="F170" s="182"/>
      <c r="G170" s="182"/>
      <c r="H170" s="182"/>
      <c r="I170" s="183"/>
    </row>
    <row r="171" spans="1:9" s="76" customFormat="1" hidden="1" x14ac:dyDescent="0.25">
      <c r="A171" s="181" t="s">
        <v>147</v>
      </c>
      <c r="B171" s="182"/>
      <c r="C171" s="182"/>
      <c r="D171" s="182"/>
      <c r="E171" s="182"/>
      <c r="F171" s="182"/>
      <c r="G171" s="182"/>
      <c r="H171" s="182"/>
      <c r="I171" s="183"/>
    </row>
    <row r="172" spans="1:9" s="76" customFormat="1" hidden="1" x14ac:dyDescent="0.25">
      <c r="A172" s="181" t="s">
        <v>148</v>
      </c>
      <c r="B172" s="182"/>
      <c r="C172" s="182"/>
      <c r="D172" s="182"/>
      <c r="E172" s="182"/>
      <c r="F172" s="182"/>
      <c r="G172" s="182"/>
      <c r="H172" s="182"/>
      <c r="I172" s="183"/>
    </row>
    <row r="173" spans="1:9" s="76" customFormat="1" hidden="1" x14ac:dyDescent="0.25">
      <c r="A173" s="181" t="s">
        <v>149</v>
      </c>
      <c r="B173" s="182"/>
      <c r="C173" s="182"/>
      <c r="D173" s="182"/>
      <c r="E173" s="182"/>
      <c r="F173" s="182"/>
      <c r="G173" s="182"/>
      <c r="H173" s="182"/>
      <c r="I173" s="183"/>
    </row>
    <row r="174" spans="1:9" s="76" customFormat="1" hidden="1" x14ac:dyDescent="0.25">
      <c r="A174" s="189"/>
      <c r="B174" s="190"/>
      <c r="C174" s="190"/>
      <c r="D174" s="190"/>
      <c r="E174" s="190"/>
      <c r="F174" s="190"/>
      <c r="G174" s="190"/>
      <c r="H174" s="190"/>
      <c r="I174" s="191"/>
    </row>
    <row r="175" spans="1:9" s="9" customFormat="1" x14ac:dyDescent="0.25"/>
    <row r="176" spans="1:9" s="9" customFormat="1" x14ac:dyDescent="0.25"/>
    <row r="177" s="9" customFormat="1" x14ac:dyDescent="0.25"/>
    <row r="178" s="9" customFormat="1" x14ac:dyDescent="0.25"/>
  </sheetData>
  <mergeCells count="18">
    <mergeCell ref="A5:I5"/>
    <mergeCell ref="A46:I46"/>
    <mergeCell ref="A1:I1"/>
    <mergeCell ref="A2:I2"/>
    <mergeCell ref="A4:I4"/>
    <mergeCell ref="A3:D3"/>
    <mergeCell ref="E3:I3"/>
    <mergeCell ref="A138:I138"/>
    <mergeCell ref="A136:I136"/>
    <mergeCell ref="A135:I135"/>
    <mergeCell ref="A47:I47"/>
    <mergeCell ref="A137:I137"/>
    <mergeCell ref="A91:I91"/>
    <mergeCell ref="A92:I92"/>
    <mergeCell ref="A94:I94"/>
    <mergeCell ref="A93:I93"/>
    <mergeCell ref="A48:I48"/>
    <mergeCell ref="A50:I50"/>
  </mergeCells>
  <phoneticPr fontId="0" type="noConversion"/>
  <pageMargins left="0.3" right="0.15748031496062992" top="0.62" bottom="1.07" header="0.26" footer="0.31496062992125984"/>
  <pageSetup paperSize="9" scale="70" firstPageNumber="0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6"/>
  <sheetViews>
    <sheetView workbookViewId="0">
      <selection activeCell="B31" sqref="B31"/>
    </sheetView>
  </sheetViews>
  <sheetFormatPr defaultRowHeight="15.75" x14ac:dyDescent="0.25"/>
  <cols>
    <col min="1" max="1" width="50.140625" style="3" customWidth="1"/>
    <col min="2" max="2" width="14.7109375" style="3" customWidth="1"/>
    <col min="3" max="3" width="14.28515625" style="3" customWidth="1"/>
    <col min="4" max="4" width="14.5703125" style="3" customWidth="1"/>
    <col min="5" max="5" width="14.42578125" style="3" customWidth="1"/>
    <col min="6" max="16384" width="9.140625" style="3"/>
  </cols>
  <sheetData>
    <row r="1" spans="1:8" x14ac:dyDescent="0.25">
      <c r="A1" s="273" t="s">
        <v>39</v>
      </c>
      <c r="B1" s="273"/>
      <c r="C1" s="273"/>
      <c r="D1" s="273"/>
      <c r="E1" s="273"/>
    </row>
    <row r="2" spans="1:8" x14ac:dyDescent="0.25">
      <c r="A2" s="273" t="s">
        <v>252</v>
      </c>
      <c r="B2" s="273"/>
      <c r="C2" s="273"/>
      <c r="D2" s="273"/>
      <c r="E2" s="273"/>
    </row>
    <row r="3" spans="1:8" x14ac:dyDescent="0.25">
      <c r="A3" s="274" t="str">
        <f>+'INCOME (2)'!F10</f>
        <v>31.12.2016</v>
      </c>
      <c r="B3" s="274"/>
      <c r="C3" s="274"/>
      <c r="D3" s="274"/>
      <c r="E3" s="274"/>
    </row>
    <row r="4" spans="1:8" ht="8.25" customHeight="1" x14ac:dyDescent="0.25">
      <c r="A4" s="37"/>
      <c r="B4" s="37"/>
      <c r="C4" s="37"/>
      <c r="D4" s="37"/>
      <c r="E4" s="37"/>
    </row>
    <row r="5" spans="1:8" x14ac:dyDescent="0.25">
      <c r="A5" s="276" t="s">
        <v>282</v>
      </c>
      <c r="B5" s="275" t="s">
        <v>34</v>
      </c>
      <c r="C5" s="275"/>
      <c r="D5" s="275" t="s">
        <v>45</v>
      </c>
      <c r="E5" s="275"/>
    </row>
    <row r="6" spans="1:8" x14ac:dyDescent="0.25">
      <c r="A6" s="277"/>
      <c r="B6" s="222" t="str">
        <f>+A3</f>
        <v>31.12.2016</v>
      </c>
      <c r="C6" s="223" t="str">
        <f>+'FINANCIAL POSITION'!G9</f>
        <v>31.03.2016</v>
      </c>
      <c r="D6" s="222" t="str">
        <f>+A3</f>
        <v>31.12.2016</v>
      </c>
      <c r="E6" s="223" t="str">
        <f>+C6</f>
        <v>31.03.2016</v>
      </c>
    </row>
    <row r="7" spans="1:8" x14ac:dyDescent="0.25">
      <c r="A7" s="211" t="s">
        <v>160</v>
      </c>
      <c r="B7" s="214" t="s">
        <v>274</v>
      </c>
      <c r="C7" s="214" t="s">
        <v>274</v>
      </c>
      <c r="D7" s="215" t="s">
        <v>275</v>
      </c>
      <c r="E7" s="215" t="s">
        <v>275</v>
      </c>
    </row>
    <row r="8" spans="1:8" x14ac:dyDescent="0.25">
      <c r="A8" s="210"/>
      <c r="B8" s="212"/>
      <c r="C8" s="212" t="s">
        <v>251</v>
      </c>
      <c r="D8" s="213"/>
      <c r="E8" s="213" t="s">
        <v>251</v>
      </c>
      <c r="H8" s="9"/>
    </row>
    <row r="9" spans="1:8" x14ac:dyDescent="0.25">
      <c r="A9" s="33" t="s">
        <v>279</v>
      </c>
      <c r="B9" s="116">
        <f>7512759/1000</f>
        <v>7512.759</v>
      </c>
      <c r="C9" s="116">
        <v>6675</v>
      </c>
      <c r="D9" s="116">
        <v>137992</v>
      </c>
      <c r="E9" s="116">
        <v>150401</v>
      </c>
    </row>
    <row r="10" spans="1:8" x14ac:dyDescent="0.25">
      <c r="A10" s="33" t="s">
        <v>280</v>
      </c>
      <c r="B10" s="116">
        <f>7539215/1000</f>
        <v>7539.2150000000001</v>
      </c>
      <c r="C10" s="116">
        <v>6705</v>
      </c>
      <c r="D10" s="116">
        <v>179520</v>
      </c>
      <c r="E10" s="116">
        <v>187642</v>
      </c>
    </row>
    <row r="11" spans="1:8" x14ac:dyDescent="0.25">
      <c r="A11" s="33" t="s">
        <v>163</v>
      </c>
      <c r="B11" s="33"/>
      <c r="C11" s="33"/>
      <c r="D11" s="33"/>
      <c r="E11" s="33"/>
    </row>
    <row r="12" spans="1:8" x14ac:dyDescent="0.25">
      <c r="A12" s="33" t="s">
        <v>161</v>
      </c>
      <c r="B12" s="166">
        <v>0.66569999999999996</v>
      </c>
      <c r="C12" s="115" t="s">
        <v>258</v>
      </c>
      <c r="D12" s="166">
        <v>7.6200000000000004E-2</v>
      </c>
      <c r="E12" s="166">
        <v>7.7499999999999999E-2</v>
      </c>
    </row>
    <row r="13" spans="1:8" x14ac:dyDescent="0.25">
      <c r="A13" s="33" t="s">
        <v>162</v>
      </c>
      <c r="B13" s="115"/>
      <c r="C13" s="115"/>
      <c r="D13" s="115"/>
      <c r="E13" s="115"/>
    </row>
    <row r="14" spans="1:8" x14ac:dyDescent="0.25">
      <c r="A14" s="33" t="s">
        <v>164</v>
      </c>
      <c r="B14" s="166">
        <v>0.66810000000000003</v>
      </c>
      <c r="C14" s="115" t="s">
        <v>259</v>
      </c>
      <c r="D14" s="166">
        <v>0.10780000000000001</v>
      </c>
      <c r="E14" s="166">
        <v>9.6600000000000005E-2</v>
      </c>
    </row>
    <row r="15" spans="1:8" x14ac:dyDescent="0.25">
      <c r="A15" s="33"/>
      <c r="B15" s="115"/>
      <c r="C15" s="115"/>
      <c r="D15" s="115"/>
      <c r="E15" s="115"/>
    </row>
    <row r="16" spans="1:8" x14ac:dyDescent="0.25">
      <c r="A16" s="32" t="s">
        <v>165</v>
      </c>
      <c r="B16" s="115"/>
      <c r="C16" s="115"/>
      <c r="D16" s="115"/>
      <c r="E16" s="115"/>
    </row>
    <row r="17" spans="1:5" x14ac:dyDescent="0.25">
      <c r="A17" s="33" t="s">
        <v>166</v>
      </c>
      <c r="B17" s="216">
        <v>2.3699999999999999E-2</v>
      </c>
      <c r="C17" s="155" t="s">
        <v>260</v>
      </c>
      <c r="D17" s="166">
        <v>0.22420000000000001</v>
      </c>
      <c r="E17" s="166">
        <v>0.17399999999999999</v>
      </c>
    </row>
    <row r="18" spans="1:5" x14ac:dyDescent="0.25">
      <c r="A18" s="33" t="s">
        <v>167</v>
      </c>
      <c r="B18" s="115"/>
      <c r="C18" s="115"/>
      <c r="D18" s="115"/>
      <c r="E18" s="115"/>
    </row>
    <row r="19" spans="1:5" x14ac:dyDescent="0.25">
      <c r="A19" s="33" t="s">
        <v>168</v>
      </c>
      <c r="B19" s="155" t="s">
        <v>295</v>
      </c>
      <c r="C19" s="115" t="s">
        <v>250</v>
      </c>
      <c r="D19" s="115" t="s">
        <v>294</v>
      </c>
      <c r="E19" s="115" t="s">
        <v>256</v>
      </c>
    </row>
    <row r="20" spans="1:5" x14ac:dyDescent="0.25">
      <c r="A20" s="33" t="s">
        <v>169</v>
      </c>
      <c r="B20" s="115"/>
      <c r="C20" s="115"/>
      <c r="D20" s="115"/>
      <c r="E20" s="115"/>
    </row>
    <row r="21" spans="1:5" x14ac:dyDescent="0.25">
      <c r="A21" s="33"/>
      <c r="B21" s="115"/>
      <c r="C21" s="115"/>
      <c r="D21" s="115"/>
      <c r="E21" s="115"/>
    </row>
    <row r="22" spans="1:5" x14ac:dyDescent="0.25">
      <c r="A22" s="32" t="s">
        <v>170</v>
      </c>
      <c r="B22" s="115"/>
      <c r="C22" s="115"/>
      <c r="D22" s="115"/>
      <c r="E22" s="115"/>
    </row>
    <row r="23" spans="1:5" x14ac:dyDescent="0.25">
      <c r="A23" s="33" t="s">
        <v>171</v>
      </c>
      <c r="B23" s="216">
        <v>3.4700000000000002E-2</v>
      </c>
      <c r="C23" s="166">
        <v>3.27E-2</v>
      </c>
      <c r="D23" s="166">
        <v>0.02</v>
      </c>
      <c r="E23" s="115" t="s">
        <v>257</v>
      </c>
    </row>
    <row r="24" spans="1:5" x14ac:dyDescent="0.25">
      <c r="A24" s="33" t="s">
        <v>172</v>
      </c>
      <c r="B24" s="216">
        <v>2.7699999999999999E-2</v>
      </c>
      <c r="C24" s="166">
        <v>2.4400000000000002E-2</v>
      </c>
      <c r="D24" s="216"/>
      <c r="E24" s="155"/>
    </row>
    <row r="25" spans="1:5" x14ac:dyDescent="0.25">
      <c r="A25" s="33" t="s">
        <v>173</v>
      </c>
      <c r="B25" s="216">
        <v>0.1452</v>
      </c>
      <c r="C25" s="166">
        <v>0.14630000000000001</v>
      </c>
      <c r="D25" s="216"/>
      <c r="E25" s="155"/>
    </row>
    <row r="26" spans="1:5" x14ac:dyDescent="0.25">
      <c r="A26" s="33"/>
      <c r="B26" s="115"/>
      <c r="C26" s="115"/>
      <c r="D26" s="115"/>
      <c r="E26" s="115"/>
    </row>
    <row r="27" spans="1:5" x14ac:dyDescent="0.25">
      <c r="A27" s="32" t="s">
        <v>174</v>
      </c>
      <c r="B27" s="115"/>
      <c r="C27" s="115"/>
      <c r="D27" s="115"/>
      <c r="E27" s="115"/>
    </row>
    <row r="28" spans="1:5" x14ac:dyDescent="0.25">
      <c r="A28" s="33" t="s">
        <v>278</v>
      </c>
      <c r="B28" s="225">
        <f>+(7327605+133508*149.6)/1000</f>
        <v>27300.4018</v>
      </c>
      <c r="C28" s="156">
        <v>11951</v>
      </c>
      <c r="D28" s="156">
        <v>690714</v>
      </c>
      <c r="E28" s="116">
        <v>665499</v>
      </c>
    </row>
    <row r="29" spans="1:5" x14ac:dyDescent="0.25">
      <c r="A29" s="33" t="s">
        <v>175</v>
      </c>
      <c r="B29" s="116"/>
      <c r="C29" s="116"/>
      <c r="D29" s="116"/>
      <c r="E29" s="116"/>
    </row>
    <row r="30" spans="1:5" x14ac:dyDescent="0.25">
      <c r="A30" s="33" t="s">
        <v>176</v>
      </c>
      <c r="B30" s="115"/>
      <c r="C30" s="115"/>
      <c r="D30" s="115"/>
      <c r="E30" s="115"/>
    </row>
    <row r="31" spans="1:5" x14ac:dyDescent="0.25">
      <c r="A31" s="33" t="s">
        <v>177</v>
      </c>
      <c r="B31" s="166">
        <v>1.4798</v>
      </c>
      <c r="C31" s="115" t="s">
        <v>261</v>
      </c>
      <c r="D31" s="115"/>
      <c r="E31" s="115"/>
    </row>
    <row r="32" spans="1:5" x14ac:dyDescent="0.25">
      <c r="A32" s="33" t="s">
        <v>178</v>
      </c>
      <c r="B32" s="166">
        <v>0.92310000000000003</v>
      </c>
      <c r="C32" s="115" t="s">
        <v>262</v>
      </c>
      <c r="D32" s="115"/>
      <c r="E32" s="115"/>
    </row>
    <row r="33" spans="1:10" x14ac:dyDescent="0.25">
      <c r="A33" s="159"/>
      <c r="B33" s="160"/>
      <c r="C33" s="160"/>
      <c r="D33" s="160"/>
      <c r="E33" s="160"/>
    </row>
    <row r="34" spans="1:10" x14ac:dyDescent="0.25">
      <c r="A34" s="27" t="s">
        <v>232</v>
      </c>
      <c r="B34" s="20"/>
      <c r="C34" s="20"/>
      <c r="D34" s="20"/>
      <c r="E34" s="20"/>
      <c r="F34" s="27"/>
      <c r="G34" s="20"/>
      <c r="H34" s="20"/>
      <c r="I34" s="20"/>
      <c r="J34" s="20"/>
    </row>
    <row r="35" spans="1:10" x14ac:dyDescent="0.25">
      <c r="A35" s="27"/>
      <c r="B35" s="20"/>
      <c r="C35" s="20"/>
      <c r="D35" s="20"/>
      <c r="E35" s="20"/>
      <c r="F35" s="27"/>
      <c r="G35" s="20"/>
      <c r="H35" s="20"/>
      <c r="I35" s="20"/>
      <c r="J35" s="20"/>
    </row>
    <row r="36" spans="1:10" ht="78.75" customHeight="1" x14ac:dyDescent="0.25">
      <c r="A36" s="268" t="s">
        <v>264</v>
      </c>
      <c r="B36" s="269"/>
      <c r="C36" s="269"/>
      <c r="D36" s="269"/>
      <c r="E36" s="269"/>
      <c r="F36" s="219"/>
      <c r="G36" s="220"/>
      <c r="H36" s="220"/>
      <c r="I36" s="220"/>
      <c r="J36" s="220"/>
    </row>
    <row r="37" spans="1:10" ht="31.5" customHeight="1" x14ac:dyDescent="0.25">
      <c r="A37" s="271" t="s">
        <v>281</v>
      </c>
      <c r="B37" s="272"/>
      <c r="C37" s="272"/>
      <c r="D37" s="272"/>
      <c r="E37" s="272"/>
      <c r="F37" s="219"/>
      <c r="G37" s="220"/>
      <c r="H37" s="220"/>
      <c r="I37" s="220"/>
      <c r="J37" s="220"/>
    </row>
    <row r="38" spans="1:10" x14ac:dyDescent="0.25">
      <c r="A38" s="159"/>
      <c r="B38" s="160"/>
      <c r="C38" s="160"/>
      <c r="D38" s="160"/>
      <c r="E38" s="160"/>
      <c r="F38" s="207"/>
      <c r="G38" s="209"/>
      <c r="H38" s="209"/>
      <c r="I38" s="209"/>
      <c r="J38" s="209"/>
    </row>
    <row r="39" spans="1:10" x14ac:dyDescent="0.25">
      <c r="A39" s="159"/>
      <c r="B39" s="160"/>
      <c r="C39" s="160"/>
      <c r="D39" s="160"/>
      <c r="E39" s="160"/>
      <c r="F39" s="217"/>
      <c r="G39" s="217"/>
      <c r="H39" s="217"/>
      <c r="I39" s="218"/>
      <c r="J39" s="217"/>
    </row>
    <row r="40" spans="1:10" x14ac:dyDescent="0.25">
      <c r="A40" s="159"/>
      <c r="B40" s="160"/>
      <c r="C40" s="160"/>
      <c r="D40" s="160"/>
      <c r="E40" s="160"/>
      <c r="F40" s="2"/>
      <c r="G40" s="30"/>
      <c r="H40" s="30"/>
      <c r="I40" s="2"/>
      <c r="J40" s="208"/>
    </row>
    <row r="41" spans="1:10" x14ac:dyDescent="0.25">
      <c r="A41" s="159"/>
      <c r="B41" s="160"/>
      <c r="C41" s="160"/>
      <c r="D41" s="160"/>
      <c r="E41" s="160"/>
      <c r="G41" s="2"/>
    </row>
    <row r="42" spans="1:10" x14ac:dyDescent="0.25">
      <c r="A42" s="159"/>
      <c r="B42" s="160"/>
      <c r="C42" s="160"/>
      <c r="D42" s="160"/>
      <c r="E42" s="160"/>
    </row>
    <row r="43" spans="1:10" x14ac:dyDescent="0.25">
      <c r="A43" s="2" t="s">
        <v>288</v>
      </c>
      <c r="B43" s="30"/>
      <c r="C43" s="30"/>
      <c r="D43" s="270" t="s">
        <v>265</v>
      </c>
      <c r="E43" s="270"/>
    </row>
    <row r="44" spans="1:10" x14ac:dyDescent="0.25">
      <c r="A44" s="3" t="s">
        <v>246</v>
      </c>
      <c r="B44" s="2"/>
      <c r="D44" s="3" t="s">
        <v>263</v>
      </c>
    </row>
    <row r="46" spans="1:10" x14ac:dyDescent="0.25">
      <c r="A46" s="152" t="s">
        <v>296</v>
      </c>
    </row>
  </sheetData>
  <mergeCells count="9">
    <mergeCell ref="A36:E36"/>
    <mergeCell ref="D43:E43"/>
    <mergeCell ref="A37:E37"/>
    <mergeCell ref="A1:E1"/>
    <mergeCell ref="A2:E2"/>
    <mergeCell ref="A3:E3"/>
    <mergeCell ref="B5:C5"/>
    <mergeCell ref="D5:E5"/>
    <mergeCell ref="A5:A6"/>
  </mergeCells>
  <phoneticPr fontId="0" type="noConversion"/>
  <pageMargins left="0.39" right="0.17" top="0.53" bottom="0.56999999999999995" header="0.3" footer="0.3"/>
  <pageSetup paperSize="9" scale="85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19" workbookViewId="0">
      <selection activeCell="I37" sqref="I37"/>
    </sheetView>
  </sheetViews>
  <sheetFormatPr defaultRowHeight="15" x14ac:dyDescent="0.25"/>
  <cols>
    <col min="1" max="1" width="7.5703125" customWidth="1"/>
    <col min="2" max="2" width="30.85546875" customWidth="1"/>
    <col min="3" max="3" width="11.5703125" bestFit="1" customWidth="1"/>
    <col min="4" max="4" width="10.85546875" customWidth="1"/>
    <col min="5" max="6" width="11" hidden="1" customWidth="1"/>
    <col min="8" max="8" width="18" bestFit="1" customWidth="1"/>
    <col min="9" max="9" width="17.42578125" style="21" bestFit="1" customWidth="1"/>
  </cols>
  <sheetData>
    <row r="1" spans="1:9" x14ac:dyDescent="0.25">
      <c r="A1" s="281" t="s">
        <v>224</v>
      </c>
      <c r="B1" s="281"/>
      <c r="C1" s="281"/>
      <c r="D1" s="281"/>
      <c r="E1" s="281"/>
      <c r="F1" s="281"/>
      <c r="G1" s="22"/>
    </row>
    <row r="2" spans="1:9" ht="15.75" thickBot="1" x14ac:dyDescent="0.3">
      <c r="A2" s="21"/>
      <c r="B2" s="21"/>
      <c r="C2" s="21"/>
      <c r="D2" s="21"/>
      <c r="E2" s="21"/>
      <c r="F2" s="21"/>
    </row>
    <row r="3" spans="1:9" x14ac:dyDescent="0.25">
      <c r="A3" s="50"/>
      <c r="B3" s="47"/>
      <c r="C3" s="282" t="s">
        <v>34</v>
      </c>
      <c r="D3" s="283"/>
      <c r="E3" s="282" t="s">
        <v>45</v>
      </c>
      <c r="F3" s="284"/>
    </row>
    <row r="4" spans="1:9" x14ac:dyDescent="0.25">
      <c r="A4" s="51"/>
      <c r="B4" s="52"/>
      <c r="C4" s="90" t="s">
        <v>35</v>
      </c>
      <c r="D4" s="90" t="s">
        <v>38</v>
      </c>
      <c r="E4" s="90" t="s">
        <v>35</v>
      </c>
      <c r="F4" s="132" t="s">
        <v>38</v>
      </c>
    </row>
    <row r="5" spans="1:9" x14ac:dyDescent="0.25">
      <c r="A5" s="54" t="s">
        <v>283</v>
      </c>
      <c r="B5" s="52"/>
      <c r="C5" s="91" t="s">
        <v>189</v>
      </c>
      <c r="D5" s="91" t="s">
        <v>191</v>
      </c>
      <c r="E5" s="91" t="s">
        <v>189</v>
      </c>
      <c r="F5" s="133" t="s">
        <v>191</v>
      </c>
    </row>
    <row r="6" spans="1:9" x14ac:dyDescent="0.25">
      <c r="A6" s="54"/>
      <c r="B6" s="52"/>
      <c r="C6" s="91" t="s">
        <v>188</v>
      </c>
      <c r="D6" s="91" t="s">
        <v>190</v>
      </c>
      <c r="E6" s="91" t="s">
        <v>188</v>
      </c>
      <c r="F6" s="133" t="s">
        <v>190</v>
      </c>
    </row>
    <row r="7" spans="1:9" x14ac:dyDescent="0.25">
      <c r="A7" s="56"/>
      <c r="B7" s="49"/>
      <c r="C7" s="92" t="str">
        <f>+'SELECTED PERFORMANCE INDICATORS'!B6</f>
        <v>31.12.2016</v>
      </c>
      <c r="D7" s="224" t="str">
        <f>+'SELECTED PERFORMANCE INDICATORS'!C6</f>
        <v>31.03.2016</v>
      </c>
      <c r="E7" s="92" t="s">
        <v>187</v>
      </c>
      <c r="F7" s="134" t="s">
        <v>187</v>
      </c>
      <c r="I7" s="23"/>
    </row>
    <row r="8" spans="1:9" x14ac:dyDescent="0.25">
      <c r="A8" s="278" t="s">
        <v>192</v>
      </c>
      <c r="B8" s="279"/>
      <c r="C8" s="228">
        <f>2103115+140686+3183818+9724000</f>
        <v>15151619</v>
      </c>
      <c r="D8" s="228">
        <f>18624800761/1000</f>
        <v>18624800.761</v>
      </c>
      <c r="E8" s="146"/>
      <c r="F8" s="147"/>
      <c r="H8" s="195"/>
    </row>
    <row r="9" spans="1:9" x14ac:dyDescent="0.25">
      <c r="A9" s="286" t="s">
        <v>193</v>
      </c>
      <c r="B9" s="41" t="s">
        <v>195</v>
      </c>
      <c r="C9" s="228">
        <f>12666+64270</f>
        <v>76936</v>
      </c>
      <c r="D9" s="228">
        <f>58356446/1000</f>
        <v>58356.446000000004</v>
      </c>
      <c r="E9" s="146"/>
      <c r="F9" s="147"/>
      <c r="H9" s="195"/>
    </row>
    <row r="10" spans="1:9" x14ac:dyDescent="0.25">
      <c r="A10" s="286"/>
      <c r="B10" s="41" t="s">
        <v>194</v>
      </c>
      <c r="C10" s="228">
        <f>7463+18993</f>
        <v>26456</v>
      </c>
      <c r="D10" s="228">
        <f>(30540614+12656394)/1000</f>
        <v>43197.008000000002</v>
      </c>
      <c r="E10" s="146"/>
      <c r="F10" s="147"/>
      <c r="H10" s="195"/>
    </row>
    <row r="11" spans="1:9" x14ac:dyDescent="0.25">
      <c r="A11" s="278" t="s">
        <v>196</v>
      </c>
      <c r="B11" s="279"/>
      <c r="C11" s="228">
        <f>+C8-C9-C10</f>
        <v>15048227</v>
      </c>
      <c r="D11" s="228">
        <f>+D8-D9-D10</f>
        <v>18523247.307</v>
      </c>
      <c r="E11" s="146"/>
      <c r="F11" s="147"/>
      <c r="H11" s="195"/>
      <c r="I11" s="198"/>
    </row>
    <row r="12" spans="1:9" x14ac:dyDescent="0.25">
      <c r="A12" s="288" t="s">
        <v>198</v>
      </c>
      <c r="B12" s="289"/>
      <c r="C12" s="228"/>
      <c r="D12" s="228"/>
      <c r="E12" s="146"/>
      <c r="F12" s="147"/>
      <c r="H12" s="197"/>
    </row>
    <row r="13" spans="1:9" x14ac:dyDescent="0.25">
      <c r="A13" s="288" t="s">
        <v>197</v>
      </c>
      <c r="B13" s="289"/>
      <c r="C13" s="228"/>
      <c r="D13" s="228"/>
      <c r="E13" s="146"/>
      <c r="F13" s="147"/>
    </row>
    <row r="14" spans="1:9" x14ac:dyDescent="0.25">
      <c r="A14" s="286" t="s">
        <v>193</v>
      </c>
      <c r="B14" s="41" t="s">
        <v>199</v>
      </c>
      <c r="C14" s="228"/>
      <c r="D14" s="228"/>
      <c r="E14" s="146"/>
      <c r="F14" s="147"/>
    </row>
    <row r="15" spans="1:9" ht="15.75" thickBot="1" x14ac:dyDescent="0.3">
      <c r="A15" s="287"/>
      <c r="B15" s="135" t="s">
        <v>200</v>
      </c>
      <c r="C15" s="229"/>
      <c r="D15" s="229"/>
      <c r="E15" s="148"/>
      <c r="F15" s="149"/>
    </row>
    <row r="16" spans="1:9" x14ac:dyDescent="0.25">
      <c r="A16" s="46" t="s">
        <v>201</v>
      </c>
      <c r="B16" s="42"/>
      <c r="C16" s="230">
        <f>C11</f>
        <v>15048227</v>
      </c>
      <c r="D16" s="230">
        <f>D11</f>
        <v>18523247.307</v>
      </c>
      <c r="E16" s="145"/>
      <c r="F16" s="145"/>
    </row>
    <row r="17" spans="1:12" x14ac:dyDescent="0.25">
      <c r="A17" s="21"/>
      <c r="B17" s="21"/>
      <c r="C17" s="203"/>
      <c r="D17" s="150"/>
      <c r="E17" s="21"/>
      <c r="F17" s="21"/>
    </row>
    <row r="18" spans="1:12" x14ac:dyDescent="0.25">
      <c r="C18" s="151"/>
    </row>
    <row r="19" spans="1:12" x14ac:dyDescent="0.25">
      <c r="A19" s="285" t="s">
        <v>225</v>
      </c>
      <c r="B19" s="285"/>
      <c r="C19" s="285"/>
      <c r="D19" s="285"/>
      <c r="E19" s="285"/>
      <c r="F19" s="285"/>
    </row>
    <row r="20" spans="1:12" ht="15.75" thickBot="1" x14ac:dyDescent="0.3">
      <c r="A20" s="48"/>
      <c r="B20" s="48"/>
      <c r="C20" s="48"/>
      <c r="D20" s="48"/>
      <c r="E20" s="48"/>
      <c r="F20" s="48"/>
      <c r="H20" s="151"/>
    </row>
    <row r="21" spans="1:12" x14ac:dyDescent="0.25">
      <c r="A21" s="50"/>
      <c r="B21" s="47"/>
      <c r="C21" s="282" t="s">
        <v>34</v>
      </c>
      <c r="D21" s="283"/>
      <c r="E21" s="282" t="s">
        <v>45</v>
      </c>
      <c r="F21" s="284"/>
    </row>
    <row r="22" spans="1:12" x14ac:dyDescent="0.25">
      <c r="A22" s="51"/>
      <c r="B22" s="52"/>
      <c r="C22" s="298" t="s">
        <v>35</v>
      </c>
      <c r="D22" s="298" t="s">
        <v>38</v>
      </c>
      <c r="E22" s="44" t="s">
        <v>35</v>
      </c>
      <c r="F22" s="53" t="s">
        <v>38</v>
      </c>
      <c r="H22" s="151"/>
    </row>
    <row r="23" spans="1:12" x14ac:dyDescent="0.25">
      <c r="A23" s="54" t="s">
        <v>283</v>
      </c>
      <c r="B23" s="52"/>
      <c r="C23" s="299" t="s">
        <v>189</v>
      </c>
      <c r="D23" s="299" t="s">
        <v>191</v>
      </c>
      <c r="E23" s="45" t="s">
        <v>189</v>
      </c>
      <c r="F23" s="55" t="s">
        <v>191</v>
      </c>
    </row>
    <row r="24" spans="1:12" x14ac:dyDescent="0.25">
      <c r="A24" s="54"/>
      <c r="B24" s="52"/>
      <c r="C24" s="299" t="s">
        <v>188</v>
      </c>
      <c r="D24" s="299" t="s">
        <v>190</v>
      </c>
      <c r="E24" s="45" t="s">
        <v>188</v>
      </c>
      <c r="F24" s="55" t="s">
        <v>190</v>
      </c>
    </row>
    <row r="25" spans="1:12" x14ac:dyDescent="0.25">
      <c r="A25" s="56"/>
      <c r="B25" s="49"/>
      <c r="C25" s="300" t="str">
        <f>+C7</f>
        <v>31.12.2016</v>
      </c>
      <c r="D25" s="300" t="str">
        <f>+D7</f>
        <v>31.03.2016</v>
      </c>
      <c r="E25" s="46" t="s">
        <v>187</v>
      </c>
      <c r="F25" s="57" t="s">
        <v>187</v>
      </c>
      <c r="I25" s="23"/>
    </row>
    <row r="26" spans="1:12" x14ac:dyDescent="0.25">
      <c r="A26" s="120" t="s">
        <v>202</v>
      </c>
      <c r="B26" s="119"/>
      <c r="C26" s="301"/>
      <c r="D26" s="301"/>
      <c r="E26" s="136"/>
      <c r="F26" s="137"/>
    </row>
    <row r="27" spans="1:12" x14ac:dyDescent="0.25">
      <c r="A27" s="278" t="s">
        <v>203</v>
      </c>
      <c r="B27" s="279"/>
      <c r="C27" s="302">
        <f>266537989.8/1000</f>
        <v>266537.98980000004</v>
      </c>
      <c r="D27" s="302">
        <f>(1250588284+71012840)/1000-D35</f>
        <v>482077.29999750014</v>
      </c>
      <c r="E27" s="138"/>
      <c r="F27" s="139"/>
      <c r="H27" s="165"/>
      <c r="I27" s="150"/>
      <c r="L27" t="s">
        <v>227</v>
      </c>
    </row>
    <row r="28" spans="1:12" x14ac:dyDescent="0.25">
      <c r="A28" s="278" t="s">
        <v>204</v>
      </c>
      <c r="B28" s="279"/>
      <c r="C28" s="303">
        <f>(2103115474.67+140685911.26)/1000-C27-C32</f>
        <v>1889228.4682600002</v>
      </c>
      <c r="D28" s="303">
        <f>(3445446287+576900000)/1000-(3236907.04+11484537.57)*145.25/1000</f>
        <v>1884056.4573975001</v>
      </c>
      <c r="E28" s="136"/>
      <c r="F28" s="137"/>
      <c r="I28" s="150"/>
    </row>
    <row r="29" spans="1:12" x14ac:dyDescent="0.25">
      <c r="A29" s="278" t="s">
        <v>205</v>
      </c>
      <c r="B29" s="279"/>
      <c r="C29" s="304">
        <v>0</v>
      </c>
      <c r="D29" s="304">
        <v>0</v>
      </c>
      <c r="E29" s="136"/>
      <c r="F29" s="137"/>
      <c r="H29" s="151"/>
      <c r="I29" s="150"/>
    </row>
    <row r="30" spans="1:12" x14ac:dyDescent="0.25">
      <c r="A30" s="278" t="s">
        <v>206</v>
      </c>
      <c r="B30" s="279"/>
      <c r="C30" s="304">
        <v>0</v>
      </c>
      <c r="D30" s="304">
        <v>0</v>
      </c>
      <c r="E30" s="136"/>
      <c r="F30" s="137"/>
      <c r="I30" s="150"/>
    </row>
    <row r="31" spans="1:12" x14ac:dyDescent="0.25">
      <c r="A31" s="278" t="s">
        <v>207</v>
      </c>
      <c r="B31" s="279"/>
      <c r="C31" s="304">
        <v>0</v>
      </c>
      <c r="D31" s="304">
        <v>0</v>
      </c>
      <c r="E31" s="136"/>
      <c r="F31" s="137"/>
      <c r="I31" s="150"/>
    </row>
    <row r="32" spans="1:12" x14ac:dyDescent="0.25">
      <c r="A32" s="278" t="s">
        <v>230</v>
      </c>
      <c r="B32" s="279"/>
      <c r="C32" s="303">
        <f>(88034927.87)/1000</f>
        <v>88034.92787</v>
      </c>
      <c r="D32" s="303">
        <f>+(23817054+10485601)/1000</f>
        <v>34302.654999999999</v>
      </c>
      <c r="E32" s="136"/>
      <c r="F32" s="137"/>
      <c r="H32" s="193"/>
      <c r="I32" s="150"/>
      <c r="L32" s="21"/>
    </row>
    <row r="33" spans="1:12" x14ac:dyDescent="0.25">
      <c r="A33" s="58" t="s">
        <v>208</v>
      </c>
      <c r="B33" s="43"/>
      <c r="C33" s="305">
        <f>SUM(C27:C32)</f>
        <v>2243801.3859299999</v>
      </c>
      <c r="D33" s="306">
        <f>SUM(D27:D32)</f>
        <v>2400436.412395</v>
      </c>
      <c r="E33" s="140"/>
      <c r="F33" s="141"/>
      <c r="H33" s="165"/>
      <c r="I33" s="196"/>
      <c r="L33" s="21"/>
    </row>
    <row r="34" spans="1:12" x14ac:dyDescent="0.25">
      <c r="A34" s="120" t="s">
        <v>209</v>
      </c>
      <c r="B34" s="119"/>
      <c r="C34" s="307"/>
      <c r="D34" s="308"/>
      <c r="E34" s="136"/>
      <c r="F34" s="137"/>
      <c r="I34" s="150"/>
      <c r="L34" s="21"/>
    </row>
    <row r="35" spans="1:12" x14ac:dyDescent="0.25">
      <c r="A35" s="280" t="s">
        <v>203</v>
      </c>
      <c r="B35" s="280"/>
      <c r="C35" s="303">
        <f>864145490.56/1000</f>
        <v>864145.49055999995</v>
      </c>
      <c r="D35" s="302">
        <f>5779854.21*145.25/1000</f>
        <v>839523.82400249992</v>
      </c>
      <c r="E35" s="138"/>
      <c r="F35" s="139"/>
      <c r="H35" s="31"/>
      <c r="I35" s="150"/>
      <c r="L35" s="21"/>
    </row>
    <row r="36" spans="1:12" x14ac:dyDescent="0.25">
      <c r="A36" s="280" t="s">
        <v>204</v>
      </c>
      <c r="B36" s="280"/>
      <c r="C36" s="303">
        <f>(1586564690.92+(3297675.95+14865.22)*149.6)/1000</f>
        <v>2082120.8499520002</v>
      </c>
      <c r="D36" s="303">
        <f>+((3236907.04+11484537.57)*145.25+6743225)/1000</f>
        <v>2145033.0546025001</v>
      </c>
      <c r="E36" s="136"/>
      <c r="F36" s="137"/>
      <c r="H36" s="195"/>
      <c r="I36" s="150"/>
      <c r="L36" s="21"/>
    </row>
    <row r="37" spans="1:12" x14ac:dyDescent="0.25">
      <c r="A37" s="280" t="s">
        <v>248</v>
      </c>
      <c r="B37" s="280"/>
      <c r="C37" s="303">
        <f>237551433.24/1000</f>
        <v>237551.43324000001</v>
      </c>
      <c r="D37" s="303">
        <f>794402018/1000</f>
        <v>794402.01800000004</v>
      </c>
      <c r="E37" s="136"/>
      <c r="F37" s="137"/>
      <c r="I37" s="150"/>
      <c r="L37" s="21"/>
    </row>
    <row r="38" spans="1:12" x14ac:dyDescent="0.25">
      <c r="A38" s="280" t="s">
        <v>286</v>
      </c>
      <c r="B38" s="280"/>
      <c r="C38" s="303">
        <f>65000*149.6</f>
        <v>9724000</v>
      </c>
      <c r="D38" s="303">
        <f>12445405452/1000</f>
        <v>12445405.452</v>
      </c>
      <c r="E38" s="136"/>
      <c r="F38" s="137"/>
      <c r="H38" s="151"/>
      <c r="I38" s="150"/>
      <c r="L38" s="21"/>
    </row>
    <row r="39" spans="1:12" ht="15.75" thickBot="1" x14ac:dyDescent="0.3">
      <c r="A39" s="100" t="s">
        <v>208</v>
      </c>
      <c r="B39" s="101"/>
      <c r="C39" s="309">
        <f>SUM(C35:C38)</f>
        <v>12907817.773752</v>
      </c>
      <c r="D39" s="310">
        <f>SUM(D35:D38)</f>
        <v>16224364.348604999</v>
      </c>
      <c r="E39" s="142"/>
      <c r="F39" s="143"/>
      <c r="H39" s="194"/>
      <c r="I39" s="153"/>
      <c r="L39" s="21"/>
    </row>
    <row r="40" spans="1:12" ht="15.75" thickBot="1" x14ac:dyDescent="0.3">
      <c r="A40" s="127" t="s">
        <v>130</v>
      </c>
      <c r="B40" s="128"/>
      <c r="C40" s="311">
        <f>C33+C39</f>
        <v>15151619.159682</v>
      </c>
      <c r="D40" s="312">
        <f>D33+D39</f>
        <v>18624800.761</v>
      </c>
      <c r="E40" s="144"/>
      <c r="F40" s="144"/>
      <c r="I40" s="153"/>
    </row>
    <row r="41" spans="1:12" ht="15.75" thickTop="1" x14ac:dyDescent="0.25">
      <c r="A41" s="21"/>
      <c r="B41" s="21"/>
      <c r="C41" s="150"/>
      <c r="D41" s="21"/>
      <c r="E41" s="21"/>
      <c r="F41" s="21"/>
    </row>
    <row r="42" spans="1:12" x14ac:dyDescent="0.25">
      <c r="C42" s="151"/>
    </row>
    <row r="44" spans="1:12" x14ac:dyDescent="0.25">
      <c r="F44" s="151"/>
    </row>
    <row r="45" spans="1:12" x14ac:dyDescent="0.25">
      <c r="C45" s="151"/>
    </row>
  </sheetData>
  <mergeCells count="22">
    <mergeCell ref="A35:B35"/>
    <mergeCell ref="A36:B36"/>
    <mergeCell ref="A37:B37"/>
    <mergeCell ref="A38:B38"/>
    <mergeCell ref="A1:F1"/>
    <mergeCell ref="C21:D21"/>
    <mergeCell ref="E21:F21"/>
    <mergeCell ref="C3:D3"/>
    <mergeCell ref="E3:F3"/>
    <mergeCell ref="A19:F19"/>
    <mergeCell ref="A9:A10"/>
    <mergeCell ref="A14:A15"/>
    <mergeCell ref="A8:B8"/>
    <mergeCell ref="A11:B11"/>
    <mergeCell ref="A12:B12"/>
    <mergeCell ref="A13:B13"/>
    <mergeCell ref="A31:B31"/>
    <mergeCell ref="A32:B32"/>
    <mergeCell ref="A27:B27"/>
    <mergeCell ref="A28:B28"/>
    <mergeCell ref="A29:B29"/>
    <mergeCell ref="A30:B3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tToHeight="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9"/>
  <sheetViews>
    <sheetView workbookViewId="0">
      <selection activeCell="C23" sqref="C23"/>
    </sheetView>
  </sheetViews>
  <sheetFormatPr defaultRowHeight="15" x14ac:dyDescent="0.25"/>
  <cols>
    <col min="1" max="1" width="6.5703125" customWidth="1"/>
    <col min="2" max="2" width="28.28515625" customWidth="1"/>
    <col min="3" max="3" width="11.5703125" customWidth="1"/>
    <col min="4" max="4" width="11.28515625" customWidth="1"/>
    <col min="5" max="5" width="11.5703125" hidden="1" customWidth="1"/>
    <col min="6" max="6" width="11.140625" hidden="1" customWidth="1"/>
  </cols>
  <sheetData>
    <row r="1" spans="1:6" x14ac:dyDescent="0.25">
      <c r="A1" s="204" t="s">
        <v>210</v>
      </c>
      <c r="B1" s="204"/>
      <c r="C1" s="204"/>
      <c r="D1" s="204"/>
      <c r="E1" s="204"/>
      <c r="F1" s="204"/>
    </row>
    <row r="2" spans="1:6" x14ac:dyDescent="0.25">
      <c r="A2" s="281" t="s">
        <v>211</v>
      </c>
      <c r="B2" s="281"/>
      <c r="C2" s="281"/>
      <c r="D2" s="281"/>
      <c r="E2" s="281"/>
      <c r="F2" s="281"/>
    </row>
    <row r="3" spans="1:6" ht="16.5" customHeight="1" thickBot="1" x14ac:dyDescent="0.3"/>
    <row r="4" spans="1:6" x14ac:dyDescent="0.25">
      <c r="A4" s="50"/>
      <c r="B4" s="47"/>
      <c r="C4" s="282" t="s">
        <v>34</v>
      </c>
      <c r="D4" s="283"/>
      <c r="E4" s="282" t="s">
        <v>45</v>
      </c>
      <c r="F4" s="284"/>
    </row>
    <row r="5" spans="1:6" x14ac:dyDescent="0.25">
      <c r="A5" s="54" t="s">
        <v>283</v>
      </c>
      <c r="B5" s="52"/>
      <c r="C5" s="90" t="s">
        <v>35</v>
      </c>
      <c r="D5" s="90" t="s">
        <v>38</v>
      </c>
      <c r="E5" s="90" t="s">
        <v>35</v>
      </c>
      <c r="F5" s="95" t="s">
        <v>38</v>
      </c>
    </row>
    <row r="6" spans="1:6" x14ac:dyDescent="0.25">
      <c r="A6" s="54"/>
      <c r="B6" s="52"/>
      <c r="C6" s="91" t="s">
        <v>189</v>
      </c>
      <c r="D6" s="91" t="s">
        <v>191</v>
      </c>
      <c r="E6" s="91" t="s">
        <v>189</v>
      </c>
      <c r="F6" s="96" t="s">
        <v>191</v>
      </c>
    </row>
    <row r="7" spans="1:6" x14ac:dyDescent="0.25">
      <c r="A7" s="54"/>
      <c r="B7" s="52"/>
      <c r="C7" s="91" t="s">
        <v>188</v>
      </c>
      <c r="D7" s="91" t="s">
        <v>190</v>
      </c>
      <c r="E7" s="91" t="s">
        <v>188</v>
      </c>
      <c r="F7" s="96" t="s">
        <v>190</v>
      </c>
    </row>
    <row r="8" spans="1:6" x14ac:dyDescent="0.25">
      <c r="A8" s="56"/>
      <c r="B8" s="49"/>
      <c r="C8" s="92" t="str">
        <f>+'SELECTED PERFORMANCE INDICATORS'!B6</f>
        <v>31.12.2016</v>
      </c>
      <c r="D8" s="224" t="str">
        <f>+'SELECTED PERFORMANCE INDICATORS'!C6</f>
        <v>31.03.2016</v>
      </c>
      <c r="E8" s="92" t="s">
        <v>187</v>
      </c>
      <c r="F8" s="97" t="s">
        <v>187</v>
      </c>
    </row>
    <row r="9" spans="1:6" x14ac:dyDescent="0.25">
      <c r="A9" s="296" t="s">
        <v>212</v>
      </c>
      <c r="B9" s="297"/>
      <c r="C9" s="93"/>
      <c r="D9" s="41"/>
      <c r="E9" s="41"/>
      <c r="F9" s="59"/>
    </row>
    <row r="10" spans="1:6" x14ac:dyDescent="0.25">
      <c r="A10" s="294" t="s">
        <v>268</v>
      </c>
      <c r="B10" s="295"/>
      <c r="C10" s="94">
        <v>58356.447000000015</v>
      </c>
      <c r="D10" s="94">
        <f>208157961/1000</f>
        <v>208157.96100000001</v>
      </c>
      <c r="E10" s="41"/>
      <c r="F10" s="59"/>
    </row>
    <row r="11" spans="1:6" x14ac:dyDescent="0.25">
      <c r="A11" s="294" t="s">
        <v>213</v>
      </c>
      <c r="B11" s="295"/>
      <c r="C11" s="94">
        <f>11250-(4819600+1)/1000</f>
        <v>6430.3990000000003</v>
      </c>
      <c r="D11" s="94">
        <f>-149801514/1000</f>
        <v>-149801.514</v>
      </c>
      <c r="E11" s="41"/>
      <c r="F11" s="59"/>
    </row>
    <row r="12" spans="1:6" x14ac:dyDescent="0.25">
      <c r="A12" s="294" t="s">
        <v>214</v>
      </c>
      <c r="B12" s="295"/>
      <c r="C12" s="94"/>
      <c r="D12" s="89"/>
      <c r="E12" s="41"/>
      <c r="F12" s="59"/>
    </row>
    <row r="13" spans="1:6" x14ac:dyDescent="0.25">
      <c r="A13" s="294" t="s">
        <v>215</v>
      </c>
      <c r="B13" s="295"/>
      <c r="C13" s="94">
        <f>516589.65/1000</f>
        <v>516.58965000000001</v>
      </c>
      <c r="D13" s="89"/>
      <c r="E13" s="41"/>
      <c r="F13" s="59"/>
    </row>
    <row r="14" spans="1:6" x14ac:dyDescent="0.25">
      <c r="A14" s="294" t="s">
        <v>216</v>
      </c>
      <c r="B14" s="295"/>
      <c r="C14" s="94"/>
      <c r="D14" s="89"/>
      <c r="E14" s="41"/>
      <c r="F14" s="59"/>
    </row>
    <row r="15" spans="1:6" x14ac:dyDescent="0.25">
      <c r="A15" s="290" t="s">
        <v>269</v>
      </c>
      <c r="B15" s="291"/>
      <c r="C15" s="205">
        <f>C10+C11-C13</f>
        <v>64270.256350000011</v>
      </c>
      <c r="D15" s="157">
        <f>D10+D11-D13</f>
        <v>58356.447000000015</v>
      </c>
      <c r="E15" s="41"/>
      <c r="F15" s="59"/>
    </row>
    <row r="16" spans="1:6" x14ac:dyDescent="0.25">
      <c r="A16" s="290" t="s">
        <v>217</v>
      </c>
      <c r="B16" s="291"/>
      <c r="C16" s="94"/>
      <c r="D16" s="89"/>
      <c r="E16" s="41"/>
      <c r="F16" s="59"/>
    </row>
    <row r="17" spans="1:8" x14ac:dyDescent="0.25">
      <c r="A17" s="294" t="s">
        <v>270</v>
      </c>
      <c r="B17" s="295"/>
      <c r="C17" s="94">
        <v>30541</v>
      </c>
      <c r="D17" s="94">
        <f>24685923/1000</f>
        <v>24685.922999999999</v>
      </c>
      <c r="E17" s="41"/>
      <c r="F17" s="59"/>
    </row>
    <row r="18" spans="1:8" x14ac:dyDescent="0.25">
      <c r="A18" s="294" t="s">
        <v>213</v>
      </c>
      <c r="B18" s="295"/>
      <c r="C18" s="94">
        <f>+C21-C17</f>
        <v>-4085</v>
      </c>
      <c r="D18" s="94">
        <f>4453702/1000</f>
        <v>4453.7020000000002</v>
      </c>
      <c r="E18" s="41"/>
      <c r="F18" s="59"/>
    </row>
    <row r="19" spans="1:8" x14ac:dyDescent="0.25">
      <c r="A19" s="294" t="s">
        <v>214</v>
      </c>
      <c r="B19" s="295"/>
      <c r="C19" s="94"/>
      <c r="D19" s="94"/>
      <c r="E19" s="41"/>
      <c r="F19" s="59"/>
    </row>
    <row r="20" spans="1:8" x14ac:dyDescent="0.25">
      <c r="A20" s="294" t="s">
        <v>216</v>
      </c>
      <c r="B20" s="295"/>
      <c r="C20" s="94"/>
      <c r="D20" s="94">
        <f>1400989/1000</f>
        <v>1400.989</v>
      </c>
      <c r="E20" s="41"/>
      <c r="F20" s="59"/>
    </row>
    <row r="21" spans="1:8" x14ac:dyDescent="0.25">
      <c r="A21" s="290" t="s">
        <v>271</v>
      </c>
      <c r="B21" s="291"/>
      <c r="C21" s="157">
        <f>+'Loans &amp; Receivables'!C10</f>
        <v>26456</v>
      </c>
      <c r="D21" s="157">
        <f>+D17+D18+D19+D20</f>
        <v>30540.614000000001</v>
      </c>
      <c r="E21" s="43"/>
      <c r="F21" s="60"/>
    </row>
    <row r="22" spans="1:8" ht="15.75" thickBot="1" x14ac:dyDescent="0.3">
      <c r="A22" s="292" t="s">
        <v>218</v>
      </c>
      <c r="B22" s="293"/>
      <c r="C22" s="206">
        <f>+C15+C21</f>
        <v>90726.256350000011</v>
      </c>
      <c r="D22" s="206">
        <f>+D15+D21</f>
        <v>88897.061000000016</v>
      </c>
      <c r="E22" s="117"/>
      <c r="F22" s="118"/>
    </row>
    <row r="23" spans="1:8" x14ac:dyDescent="0.25">
      <c r="H23" s="28"/>
    </row>
    <row r="25" spans="1:8" x14ac:dyDescent="0.25">
      <c r="D25" s="28"/>
    </row>
    <row r="26" spans="1:8" x14ac:dyDescent="0.25">
      <c r="C26" s="28"/>
    </row>
    <row r="27" spans="1:8" x14ac:dyDescent="0.25">
      <c r="D27" s="28"/>
    </row>
    <row r="28" spans="1:8" x14ac:dyDescent="0.25">
      <c r="C28" s="28"/>
      <c r="D28" s="28"/>
    </row>
    <row r="29" spans="1:8" x14ac:dyDescent="0.25">
      <c r="C29" s="28"/>
    </row>
  </sheetData>
  <mergeCells count="17">
    <mergeCell ref="C4:D4"/>
    <mergeCell ref="E4:F4"/>
    <mergeCell ref="A2:F2"/>
    <mergeCell ref="A17:B17"/>
    <mergeCell ref="A9:B9"/>
    <mergeCell ref="A16:B16"/>
    <mergeCell ref="A15:B15"/>
    <mergeCell ref="A10:B10"/>
    <mergeCell ref="A11:B11"/>
    <mergeCell ref="A12:B12"/>
    <mergeCell ref="A13:B13"/>
    <mergeCell ref="A14:B14"/>
    <mergeCell ref="A21:B21"/>
    <mergeCell ref="A22:B22"/>
    <mergeCell ref="A19:B19"/>
    <mergeCell ref="A20:B20"/>
    <mergeCell ref="A18:B18"/>
  </mergeCells>
  <phoneticPr fontId="0" type="noConversion"/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C19" sqref="C19"/>
    </sheetView>
  </sheetViews>
  <sheetFormatPr defaultRowHeight="15" x14ac:dyDescent="0.25"/>
  <cols>
    <col min="1" max="1" width="6.5703125" customWidth="1"/>
    <col min="2" max="2" width="33.28515625" customWidth="1"/>
    <col min="3" max="3" width="12.140625" style="165" bestFit="1" customWidth="1"/>
    <col min="4" max="4" width="11" customWidth="1"/>
    <col min="5" max="5" width="10.85546875" hidden="1" customWidth="1"/>
    <col min="6" max="6" width="11.28515625" hidden="1" customWidth="1"/>
    <col min="7" max="7" width="11.5703125" bestFit="1" customWidth="1"/>
  </cols>
  <sheetData>
    <row r="1" spans="1:7" x14ac:dyDescent="0.25">
      <c r="A1" s="204" t="s">
        <v>219</v>
      </c>
      <c r="B1" s="204"/>
      <c r="C1" s="204"/>
      <c r="D1" s="204"/>
      <c r="E1" s="204"/>
      <c r="F1" s="204"/>
    </row>
    <row r="2" spans="1:7" ht="15.75" thickBot="1" x14ac:dyDescent="0.3"/>
    <row r="3" spans="1:7" x14ac:dyDescent="0.25">
      <c r="A3" s="50"/>
      <c r="B3" s="47"/>
      <c r="C3" s="282" t="s">
        <v>34</v>
      </c>
      <c r="D3" s="283"/>
      <c r="E3" s="282" t="s">
        <v>45</v>
      </c>
      <c r="F3" s="284"/>
    </row>
    <row r="4" spans="1:7" x14ac:dyDescent="0.25">
      <c r="A4" s="54" t="s">
        <v>283</v>
      </c>
      <c r="B4" s="52"/>
      <c r="C4" s="199" t="s">
        <v>35</v>
      </c>
      <c r="D4" s="90" t="s">
        <v>38</v>
      </c>
      <c r="E4" s="90" t="s">
        <v>35</v>
      </c>
      <c r="F4" s="95" t="s">
        <v>38</v>
      </c>
    </row>
    <row r="5" spans="1:7" x14ac:dyDescent="0.25">
      <c r="A5" s="54"/>
      <c r="B5" s="52"/>
      <c r="C5" s="200" t="s">
        <v>189</v>
      </c>
      <c r="D5" s="91" t="s">
        <v>191</v>
      </c>
      <c r="E5" s="91" t="s">
        <v>189</v>
      </c>
      <c r="F5" s="96" t="s">
        <v>191</v>
      </c>
    </row>
    <row r="6" spans="1:7" x14ac:dyDescent="0.25">
      <c r="A6" s="54"/>
      <c r="B6" s="52"/>
      <c r="C6" s="200" t="s">
        <v>188</v>
      </c>
      <c r="D6" s="91" t="s">
        <v>190</v>
      </c>
      <c r="E6" s="91" t="s">
        <v>188</v>
      </c>
      <c r="F6" s="96" t="s">
        <v>190</v>
      </c>
    </row>
    <row r="7" spans="1:7" x14ac:dyDescent="0.25">
      <c r="A7" s="56"/>
      <c r="B7" s="49"/>
      <c r="C7" s="201" t="str">
        <f>+Impairment!C8</f>
        <v>31.12.2016</v>
      </c>
      <c r="D7" s="92" t="str">
        <f>+Impairment!D8</f>
        <v>31.03.2016</v>
      </c>
      <c r="E7" s="92" t="s">
        <v>187</v>
      </c>
      <c r="F7" s="97" t="s">
        <v>187</v>
      </c>
    </row>
    <row r="8" spans="1:7" x14ac:dyDescent="0.25">
      <c r="A8" s="291" t="s">
        <v>202</v>
      </c>
      <c r="B8" s="291"/>
      <c r="C8" s="202"/>
      <c r="D8" s="41"/>
      <c r="E8" s="41"/>
      <c r="F8" s="41"/>
    </row>
    <row r="9" spans="1:7" x14ac:dyDescent="0.25">
      <c r="A9" s="279" t="s">
        <v>220</v>
      </c>
      <c r="B9" s="279"/>
      <c r="C9" s="89">
        <f>128204+538</f>
        <v>128742</v>
      </c>
      <c r="D9" s="89">
        <v>126869</v>
      </c>
      <c r="E9" s="41"/>
      <c r="F9" s="41"/>
    </row>
    <row r="10" spans="1:7" x14ac:dyDescent="0.25">
      <c r="A10" s="279" t="s">
        <v>221</v>
      </c>
      <c r="B10" s="279"/>
      <c r="C10" s="89">
        <v>63727</v>
      </c>
      <c r="D10" s="89">
        <v>68318</v>
      </c>
      <c r="E10" s="41"/>
      <c r="F10" s="41"/>
    </row>
    <row r="11" spans="1:7" x14ac:dyDescent="0.25">
      <c r="A11" s="279" t="s">
        <v>222</v>
      </c>
      <c r="B11" s="279"/>
      <c r="C11" s="89">
        <v>585269</v>
      </c>
      <c r="D11" s="89">
        <v>610612</v>
      </c>
      <c r="E11" s="41"/>
      <c r="F11" s="41"/>
    </row>
    <row r="12" spans="1:7" x14ac:dyDescent="0.25">
      <c r="A12" s="279" t="s">
        <v>223</v>
      </c>
      <c r="B12" s="279"/>
      <c r="C12" s="89">
        <f>+C13-C9-C10-C11</f>
        <v>34306</v>
      </c>
      <c r="D12" s="89">
        <v>0</v>
      </c>
      <c r="E12" s="41"/>
      <c r="F12" s="41"/>
    </row>
    <row r="13" spans="1:7" x14ac:dyDescent="0.25">
      <c r="A13" s="291" t="s">
        <v>208</v>
      </c>
      <c r="B13" s="291"/>
      <c r="C13" s="157">
        <v>812044</v>
      </c>
      <c r="D13" s="157">
        <f>SUM(D9:D12)</f>
        <v>805799</v>
      </c>
      <c r="E13" s="41"/>
      <c r="F13" s="41"/>
    </row>
    <row r="14" spans="1:7" x14ac:dyDescent="0.25">
      <c r="A14" s="291" t="s">
        <v>209</v>
      </c>
      <c r="B14" s="291"/>
      <c r="C14" s="89"/>
      <c r="D14" s="89"/>
      <c r="E14" s="41"/>
      <c r="F14" s="41"/>
    </row>
    <row r="15" spans="1:7" x14ac:dyDescent="0.25">
      <c r="A15" s="279" t="s">
        <v>220</v>
      </c>
      <c r="B15" s="279"/>
      <c r="C15" s="89">
        <f>23536+2244</f>
        <v>25780</v>
      </c>
      <c r="D15" s="89">
        <f>164797349/1000-D9</f>
        <v>37928.348999999987</v>
      </c>
      <c r="E15" s="41"/>
      <c r="F15" s="41"/>
      <c r="G15" s="165"/>
    </row>
    <row r="16" spans="1:7" x14ac:dyDescent="0.25">
      <c r="A16" s="279" t="s">
        <v>221</v>
      </c>
      <c r="B16" s="279"/>
      <c r="C16" s="89">
        <v>117912</v>
      </c>
      <c r="D16" s="89">
        <f>776169145/1000-D10</f>
        <v>707851.14500000002</v>
      </c>
      <c r="E16" s="41"/>
      <c r="F16" s="41"/>
      <c r="G16" s="165"/>
    </row>
    <row r="17" spans="1:8" x14ac:dyDescent="0.25">
      <c r="A17" s="279" t="s">
        <v>222</v>
      </c>
      <c r="B17" s="279"/>
      <c r="C17" s="89">
        <v>1276816</v>
      </c>
      <c r="D17" s="89">
        <f>945758008/1000-D11</f>
        <v>335146.00800000003</v>
      </c>
      <c r="E17" s="41"/>
      <c r="F17" s="41"/>
      <c r="G17" s="165"/>
    </row>
    <row r="18" spans="1:8" x14ac:dyDescent="0.25">
      <c r="A18" s="279" t="s">
        <v>223</v>
      </c>
      <c r="B18" s="279"/>
      <c r="C18" s="89">
        <f>10183+37376</f>
        <v>47559</v>
      </c>
      <c r="D18" s="89">
        <f>838180/1000</f>
        <v>838.18</v>
      </c>
      <c r="E18" s="41"/>
      <c r="F18" s="41"/>
      <c r="G18" s="165"/>
    </row>
    <row r="19" spans="1:8" x14ac:dyDescent="0.25">
      <c r="A19" s="291" t="s">
        <v>208</v>
      </c>
      <c r="B19" s="291"/>
      <c r="C19" s="157">
        <f>SUM(C15:C18)</f>
        <v>1468067</v>
      </c>
      <c r="D19" s="157">
        <f>SUM(D15:D18)</f>
        <v>1081763.6819999998</v>
      </c>
      <c r="E19" s="41"/>
      <c r="F19" s="41"/>
      <c r="G19" s="28"/>
    </row>
    <row r="20" spans="1:8" x14ac:dyDescent="0.25">
      <c r="A20" s="291" t="s">
        <v>130</v>
      </c>
      <c r="B20" s="291"/>
      <c r="C20" s="157">
        <f>+'FINANCIAL POSITION'!F38</f>
        <v>2280111</v>
      </c>
      <c r="D20" s="157">
        <f>D13+D19</f>
        <v>1887562.6819999998</v>
      </c>
      <c r="E20" s="41"/>
      <c r="F20" s="41"/>
    </row>
    <row r="21" spans="1:8" x14ac:dyDescent="0.25">
      <c r="A21" s="21"/>
      <c r="B21" s="28"/>
      <c r="C21" s="203">
        <f>+C13+C19-C20</f>
        <v>0</v>
      </c>
      <c r="D21" s="21"/>
      <c r="E21" s="21"/>
      <c r="F21" s="21"/>
    </row>
    <row r="23" spans="1:8" x14ac:dyDescent="0.25">
      <c r="C23" s="25"/>
      <c r="D23" s="25"/>
      <c r="F23" s="28"/>
      <c r="H23" s="28"/>
    </row>
    <row r="24" spans="1:8" x14ac:dyDescent="0.25">
      <c r="C24" s="25"/>
      <c r="D24" s="25"/>
      <c r="F24" s="28"/>
      <c r="H24" s="28"/>
    </row>
    <row r="25" spans="1:8" x14ac:dyDescent="0.25">
      <c r="C25" s="25"/>
      <c r="D25" s="25"/>
      <c r="F25" s="28"/>
      <c r="H25" s="28"/>
    </row>
    <row r="26" spans="1:8" x14ac:dyDescent="0.25">
      <c r="B26" s="21"/>
      <c r="C26" s="26"/>
      <c r="D26" s="26"/>
      <c r="F26" s="28"/>
      <c r="H26" s="28"/>
    </row>
    <row r="27" spans="1:8" x14ac:dyDescent="0.25">
      <c r="B27" s="21"/>
      <c r="C27" s="203"/>
      <c r="D27" s="29"/>
      <c r="E27" s="28"/>
      <c r="F27" s="28"/>
      <c r="G27" s="28"/>
      <c r="H27" s="28"/>
    </row>
    <row r="28" spans="1:8" x14ac:dyDescent="0.25">
      <c r="E28" s="28"/>
    </row>
  </sheetData>
  <mergeCells count="15">
    <mergeCell ref="A19:B19"/>
    <mergeCell ref="A20:B20"/>
    <mergeCell ref="C3:D3"/>
    <mergeCell ref="E3:F3"/>
    <mergeCell ref="A8:B8"/>
    <mergeCell ref="A13:B13"/>
    <mergeCell ref="A14:B14"/>
    <mergeCell ref="A9:B9"/>
    <mergeCell ref="A10:B10"/>
    <mergeCell ref="A17:B17"/>
    <mergeCell ref="A18:B18"/>
    <mergeCell ref="A11:B11"/>
    <mergeCell ref="A12:B12"/>
    <mergeCell ref="A15:B15"/>
    <mergeCell ref="A16:B16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INCOME(1)</vt:lpstr>
      <vt:lpstr>INCOME (2)</vt:lpstr>
      <vt:lpstr>FINANCIAL POSITION</vt:lpstr>
      <vt:lpstr>CHANGES IN EQUITY</vt:lpstr>
      <vt:lpstr>FINANCIAL INSTRUMENTS</vt:lpstr>
      <vt:lpstr>SELECTED PERFORMANCE INDICATORS</vt:lpstr>
      <vt:lpstr>Loans &amp; Receivables</vt:lpstr>
      <vt:lpstr>Impairment</vt:lpstr>
      <vt:lpstr>Customers</vt:lpstr>
      <vt:lpstr>'CHANGES IN EQUITY'!Print_Area</vt:lpstr>
      <vt:lpstr>'INCOME (2)'!Print_Area</vt:lpstr>
      <vt:lpstr>'INCOME(1)'!Print_Area</vt:lpstr>
      <vt:lpstr>'Loans &amp; Receivables'!Print_Area</vt:lpstr>
      <vt:lpstr>'SELECTED PERFORMANCE INDICATORS'!Print_Area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Sahana Ms.</dc:creator>
  <cp:lastModifiedBy>Regimol</cp:lastModifiedBy>
  <cp:lastPrinted>2017-02-16T09:06:35Z</cp:lastPrinted>
  <dcterms:created xsi:type="dcterms:W3CDTF">2013-06-10T08:59:36Z</dcterms:created>
  <dcterms:modified xsi:type="dcterms:W3CDTF">2017-08-14T12:13:41Z</dcterms:modified>
</cp:coreProperties>
</file>